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Ariel ACC - Measurement A/2025 A/"/>
    </mc:Choice>
  </mc:AlternateContent>
  <xr:revisionPtr revIDLastSave="0" documentId="13_ncr:1_{9B6E44F1-88F6-AC46-9A5D-E909D8ECCEAE}" xr6:coauthVersionLast="47" xr6:coauthVersionMax="47" xr10:uidLastSave="{00000000-0000-0000-0000-000000000000}"/>
  <bookViews>
    <workbookView xWindow="0" yWindow="500" windowWidth="51200" windowHeight="29660" activeTab="11" xr2:uid="{73117C41-72FF-2E40-B7A9-2A528C4956D6}"/>
  </bookViews>
  <sheets>
    <sheet name="COVER" sheetId="1" r:id="rId1"/>
    <sheet name="Lecture 1" sheetId="2" r:id="rId2"/>
    <sheet name="Lecture 2,3" sheetId="3" r:id="rId3"/>
    <sheet name="Lectures 3,4, 5a" sheetId="4" r:id="rId4"/>
    <sheet name="Lecture 5b" sheetId="5" r:id="rId5"/>
    <sheet name="Lecture 6a" sheetId="14" r:id="rId6"/>
    <sheet name="Lecture 7 New" sheetId="6" r:id="rId7"/>
    <sheet name="Lecture 8 New" sheetId="7" r:id="rId8"/>
    <sheet name="Lecture 9 New" sheetId="8" r:id="rId9"/>
    <sheet name="Lecture 10 New" sheetId="9" r:id="rId10"/>
    <sheet name="Lecture 10" sheetId="10" r:id="rId11"/>
    <sheet name="Lecture 11" sheetId="11" r:id="rId12"/>
    <sheet name="Lecture 12" sheetId="13" r:id="rId1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5" i="11" l="1"/>
  <c r="D544" i="9" l="1"/>
  <c r="F550" i="9" l="1"/>
  <c r="F551" i="9" s="1"/>
  <c r="D545" i="9"/>
  <c r="D543" i="9"/>
  <c r="D542" i="9"/>
  <c r="J405" i="9"/>
  <c r="G386" i="9"/>
  <c r="G389" i="9"/>
  <c r="G388" i="9"/>
  <c r="G387" i="9"/>
  <c r="D387" i="9"/>
  <c r="D386" i="9"/>
  <c r="C387" i="9"/>
  <c r="C386" i="9"/>
  <c r="E316" i="9"/>
  <c r="C253" i="9"/>
  <c r="C252" i="9"/>
  <c r="D252" i="9" s="1"/>
  <c r="D405" i="8"/>
  <c r="D406" i="8"/>
  <c r="C403" i="8"/>
  <c r="E394" i="8"/>
  <c r="E367" i="8"/>
  <c r="D387" i="8"/>
  <c r="D386" i="8"/>
  <c r="G387" i="8"/>
  <c r="G386" i="8"/>
  <c r="G383" i="8"/>
  <c r="G382" i="8"/>
  <c r="G381" i="8"/>
  <c r="E368" i="8"/>
  <c r="F370" i="8" s="1"/>
  <c r="F371" i="8" s="1"/>
  <c r="F361" i="8"/>
  <c r="F360" i="8"/>
  <c r="E347" i="8"/>
  <c r="E348" i="8"/>
  <c r="F549" i="9" l="1"/>
  <c r="F553" i="9" s="1"/>
  <c r="D388" i="9"/>
  <c r="E393" i="9" s="1"/>
  <c r="G390" i="9"/>
  <c r="C388" i="9"/>
  <c r="J370" i="7"/>
  <c r="G359" i="7"/>
  <c r="H367" i="7" s="1"/>
  <c r="F341" i="7"/>
  <c r="I277" i="7"/>
  <c r="F264" i="7"/>
  <c r="D258" i="7"/>
  <c r="E43" i="7"/>
  <c r="F47" i="7" s="1"/>
  <c r="F48" i="7" s="1"/>
  <c r="J313" i="6"/>
  <c r="J314" i="6" s="1"/>
  <c r="I321" i="6" s="1"/>
  <c r="E188" i="6"/>
  <c r="E189" i="6" s="1"/>
  <c r="D189" i="6"/>
  <c r="C142" i="6"/>
  <c r="H142" i="6" s="1"/>
  <c r="F300" i="8"/>
  <c r="G258" i="7"/>
  <c r="H320" i="8"/>
  <c r="D390" i="9" l="1"/>
  <c r="E392" i="9" s="1"/>
  <c r="E394" i="9" s="1"/>
  <c r="E399" i="9" s="1"/>
  <c r="E400" i="9" s="1"/>
  <c r="E404" i="9" s="1"/>
  <c r="E405" i="9" s="1"/>
  <c r="G74" i="14"/>
  <c r="E74" i="14"/>
  <c r="G68" i="14"/>
  <c r="G69" i="14"/>
  <c r="E68" i="14"/>
  <c r="F68" i="14"/>
  <c r="K220" i="14"/>
  <c r="K218" i="14"/>
  <c r="E218" i="14"/>
  <c r="E220" i="14" s="1"/>
  <c r="E222" i="14" s="1"/>
  <c r="K222" i="14" s="1"/>
  <c r="C194" i="14"/>
  <c r="G185" i="14"/>
  <c r="G184" i="14"/>
  <c r="C184" i="14"/>
  <c r="C186" i="14" s="1"/>
  <c r="C178" i="14"/>
  <c r="E177" i="14"/>
  <c r="E178" i="14" s="1"/>
  <c r="E180" i="14" s="1"/>
  <c r="H198" i="14" s="1"/>
  <c r="D177" i="14"/>
  <c r="D178" i="14" s="1"/>
  <c r="E224" i="14" l="1"/>
  <c r="G186" i="14"/>
  <c r="H199" i="14"/>
  <c r="H200" i="14" s="1"/>
  <c r="H214" i="14" s="1"/>
  <c r="G89" i="14"/>
  <c r="F89" i="14"/>
  <c r="E89" i="14"/>
  <c r="E94" i="14" s="1"/>
  <c r="E96" i="14" s="1"/>
  <c r="E99" i="14" s="1"/>
  <c r="E101" i="14" s="1"/>
  <c r="F73" i="14"/>
  <c r="F79" i="14" s="1"/>
  <c r="F69" i="14"/>
  <c r="E69" i="14"/>
  <c r="E61" i="14"/>
  <c r="D62" i="14"/>
  <c r="E62" i="14" s="1"/>
  <c r="F62" i="14" s="1"/>
  <c r="G62" i="14" s="1"/>
  <c r="G78" i="14" s="1"/>
  <c r="B42" i="14"/>
  <c r="G61" i="14" s="1"/>
  <c r="B41" i="14"/>
  <c r="B40" i="14"/>
  <c r="J91" i="4"/>
  <c r="I60" i="4"/>
  <c r="H60" i="4"/>
  <c r="I39" i="4"/>
  <c r="H39" i="4"/>
  <c r="I40" i="4"/>
  <c r="H40" i="4"/>
  <c r="K615" i="3"/>
  <c r="K614" i="3"/>
  <c r="K613" i="3"/>
  <c r="K611" i="3"/>
  <c r="L605" i="3"/>
  <c r="K605" i="3"/>
  <c r="K610" i="3" s="1"/>
  <c r="O534" i="3"/>
  <c r="O518" i="3"/>
  <c r="O533" i="3"/>
  <c r="K544" i="3"/>
  <c r="O524" i="3"/>
  <c r="J535" i="3"/>
  <c r="K532" i="3"/>
  <c r="J532" i="3"/>
  <c r="K531" i="3"/>
  <c r="J531" i="3"/>
  <c r="K523" i="3"/>
  <c r="K522" i="3"/>
  <c r="J522" i="3"/>
  <c r="J523" i="3"/>
  <c r="K514" i="3"/>
  <c r="K515" i="3"/>
  <c r="J515" i="3"/>
  <c r="J514" i="3"/>
  <c r="J516" i="3"/>
  <c r="O525" i="3"/>
  <c r="J533" i="3"/>
  <c r="S519" i="3" s="1"/>
  <c r="K533" i="3"/>
  <c r="K535" i="3" s="1"/>
  <c r="U519" i="3" s="1"/>
  <c r="K540" i="3"/>
  <c r="K542" i="3" s="1"/>
  <c r="P541" i="3" s="1"/>
  <c r="Q541" i="3" s="1"/>
  <c r="Y540" i="3"/>
  <c r="Y541" i="3"/>
  <c r="Y542" i="3" s="1"/>
  <c r="J542" i="3"/>
  <c r="J544" i="3"/>
  <c r="S520" i="3" s="1"/>
  <c r="Y545" i="3"/>
  <c r="Y547" i="3" s="1"/>
  <c r="P547" i="3"/>
  <c r="J550" i="3"/>
  <c r="J552" i="3" s="1"/>
  <c r="J554" i="3" s="1"/>
  <c r="R521" i="3" s="1"/>
  <c r="K550" i="3"/>
  <c r="K552" i="3"/>
  <c r="K554" i="3"/>
  <c r="T521" i="3" s="1"/>
  <c r="K560" i="3"/>
  <c r="K562" i="3" s="1"/>
  <c r="U522" i="3" s="1"/>
  <c r="K574" i="3"/>
  <c r="K577" i="3" s="1"/>
  <c r="O519" i="3" s="1"/>
  <c r="E381" i="3"/>
  <c r="E319" i="3"/>
  <c r="F262" i="3"/>
  <c r="F265" i="3" s="1"/>
  <c r="E262" i="3"/>
  <c r="E265" i="3" s="1"/>
  <c r="D262" i="3"/>
  <c r="D265" i="3" s="1"/>
  <c r="C262" i="3"/>
  <c r="C264" i="3" s="1"/>
  <c r="F253" i="3"/>
  <c r="D253" i="3"/>
  <c r="H215" i="14" l="1"/>
  <c r="K224" i="14" s="1"/>
  <c r="G192" i="14"/>
  <c r="G194" i="14" s="1"/>
  <c r="E70" i="14"/>
  <c r="G70" i="14"/>
  <c r="G91" i="14" s="1"/>
  <c r="F70" i="14"/>
  <c r="F90" i="14" s="1"/>
  <c r="F78" i="14"/>
  <c r="G84" i="14"/>
  <c r="G93" i="14" s="1"/>
  <c r="F86" i="14"/>
  <c r="F92" i="14" s="1"/>
  <c r="D63" i="14"/>
  <c r="D65" i="14" s="1"/>
  <c r="E78" i="14"/>
  <c r="G63" i="14"/>
  <c r="G65" i="14" s="1"/>
  <c r="G73" i="14"/>
  <c r="E63" i="14"/>
  <c r="E73" i="14"/>
  <c r="F63" i="14"/>
  <c r="F65" i="14" s="1"/>
  <c r="E65" i="14"/>
  <c r="U520" i="3"/>
  <c r="R541" i="3"/>
  <c r="K524" i="3"/>
  <c r="K526" i="3" s="1"/>
  <c r="U518" i="3" s="1"/>
  <c r="U523" i="3" s="1"/>
  <c r="J524" i="3"/>
  <c r="K516" i="3"/>
  <c r="K518" i="3" s="1"/>
  <c r="T517" i="3" s="1"/>
  <c r="J526" i="3"/>
  <c r="S518" i="3" s="1"/>
  <c r="S523" i="3" s="1"/>
  <c r="S526" i="3" s="1"/>
  <c r="T523" i="3"/>
  <c r="J518" i="3"/>
  <c r="R517" i="3" s="1"/>
  <c r="R523" i="3" s="1"/>
  <c r="F227" i="3"/>
  <c r="D227" i="3"/>
  <c r="C182" i="3"/>
  <c r="C184" i="3" s="1"/>
  <c r="G171" i="3"/>
  <c r="E171" i="3"/>
  <c r="G100" i="3"/>
  <c r="E100" i="3"/>
  <c r="G99" i="3"/>
  <c r="E99" i="3"/>
  <c r="F40" i="2"/>
  <c r="G40" i="2"/>
  <c r="F231" i="13"/>
  <c r="F470" i="13"/>
  <c r="G436" i="13"/>
  <c r="C466" i="13" s="1"/>
  <c r="E523" i="13"/>
  <c r="E446" i="13"/>
  <c r="C498" i="13"/>
  <c r="D498" i="13"/>
  <c r="E511" i="13"/>
  <c r="E510" i="13"/>
  <c r="D446" i="13"/>
  <c r="C446" i="13" s="1"/>
  <c r="B446" i="13" s="1"/>
  <c r="F444" i="13"/>
  <c r="E494" i="13" s="1"/>
  <c r="E390" i="13"/>
  <c r="D368" i="13"/>
  <c r="C368" i="13" s="1"/>
  <c r="B368" i="13" s="1"/>
  <c r="D367" i="13"/>
  <c r="E367" i="13"/>
  <c r="E331" i="13"/>
  <c r="E330" i="13"/>
  <c r="E323" i="13"/>
  <c r="D323" i="13" s="1"/>
  <c r="D310" i="13"/>
  <c r="C310" i="13" s="1"/>
  <c r="B310" i="13" s="1"/>
  <c r="D309" i="13"/>
  <c r="E308" i="13"/>
  <c r="D308" i="13" s="1"/>
  <c r="D320" i="13" s="1"/>
  <c r="E284" i="13"/>
  <c r="E277" i="13"/>
  <c r="E279" i="13" s="1"/>
  <c r="E252" i="13"/>
  <c r="D224" i="13"/>
  <c r="C224" i="13" s="1"/>
  <c r="B224" i="13" s="1"/>
  <c r="D223" i="13"/>
  <c r="E225" i="13"/>
  <c r="E222" i="13" s="1"/>
  <c r="D222" i="13" s="1"/>
  <c r="D235" i="13" s="1"/>
  <c r="F94" i="14" l="1"/>
  <c r="F96" i="14" s="1"/>
  <c r="F99" i="14" s="1"/>
  <c r="G94" i="14"/>
  <c r="G96" i="14" s="1"/>
  <c r="G99" i="14" s="1"/>
  <c r="G100" i="14"/>
  <c r="F74" i="14"/>
  <c r="F75" i="14" s="1"/>
  <c r="F85" i="14" s="1"/>
  <c r="F105" i="14" s="1"/>
  <c r="E79" i="14"/>
  <c r="E75" i="14"/>
  <c r="E83" i="14" s="1"/>
  <c r="F100" i="14"/>
  <c r="F101" i="14" s="1"/>
  <c r="G75" i="14"/>
  <c r="G83" i="14" s="1"/>
  <c r="G104" i="14" s="1"/>
  <c r="G79" i="14"/>
  <c r="O516" i="3"/>
  <c r="O530" i="3" s="1"/>
  <c r="O532" i="3" s="1"/>
  <c r="O535" i="3" s="1"/>
  <c r="S530" i="3" s="1"/>
  <c r="S525" i="3"/>
  <c r="S527" i="3" s="1"/>
  <c r="S531" i="3" s="1"/>
  <c r="D482" i="13"/>
  <c r="D538" i="13" s="1"/>
  <c r="F468" i="13"/>
  <c r="F471" i="13" s="1"/>
  <c r="C467" i="13" s="1"/>
  <c r="C468" i="13" s="1"/>
  <c r="D537" i="13" s="1"/>
  <c r="E444" i="13"/>
  <c r="E447" i="13" s="1"/>
  <c r="E366" i="13"/>
  <c r="D444" i="13"/>
  <c r="E320" i="13"/>
  <c r="E325" i="13" s="1"/>
  <c r="D344" i="13" s="1"/>
  <c r="D325" i="13"/>
  <c r="E344" i="13" s="1"/>
  <c r="E286" i="13"/>
  <c r="D311" i="13"/>
  <c r="E333" i="13" s="1"/>
  <c r="C308" i="13"/>
  <c r="E235" i="13"/>
  <c r="E238" i="13"/>
  <c r="D238" i="13" s="1"/>
  <c r="D240" i="13" s="1"/>
  <c r="E265" i="13" s="1"/>
  <c r="C222" i="13"/>
  <c r="D225" i="13"/>
  <c r="E254" i="13" s="1"/>
  <c r="E251" i="13"/>
  <c r="G101" i="14" l="1"/>
  <c r="S532" i="3"/>
  <c r="D345" i="13"/>
  <c r="E240" i="13"/>
  <c r="D266" i="13" s="1"/>
  <c r="E369" i="13"/>
  <c r="E363" i="13" s="1"/>
  <c r="D366" i="13"/>
  <c r="E379" i="13"/>
  <c r="D494" i="13"/>
  <c r="D447" i="13"/>
  <c r="C444" i="13"/>
  <c r="C494" i="13" s="1"/>
  <c r="E332" i="13"/>
  <c r="D351" i="13" s="1"/>
  <c r="C311" i="13"/>
  <c r="E336" i="13" s="1"/>
  <c r="B308" i="13"/>
  <c r="B311" i="13" s="1"/>
  <c r="E339" i="13" s="1"/>
  <c r="E253" i="13"/>
  <c r="D269" i="13" s="1"/>
  <c r="C225" i="13"/>
  <c r="E257" i="13" s="1"/>
  <c r="E266" i="13" s="1"/>
  <c r="B222" i="13"/>
  <c r="B225" i="13" s="1"/>
  <c r="E260" i="13" s="1"/>
  <c r="E512" i="13" l="1"/>
  <c r="D540" i="13" s="1"/>
  <c r="D452" i="13"/>
  <c r="E338" i="13"/>
  <c r="F351" i="13" s="1"/>
  <c r="E514" i="13"/>
  <c r="E497" i="13"/>
  <c r="D369" i="13"/>
  <c r="E392" i="13" s="1"/>
  <c r="D379" i="13"/>
  <c r="C366" i="13"/>
  <c r="E389" i="13"/>
  <c r="D407" i="13" s="1"/>
  <c r="E382" i="13"/>
  <c r="D382" i="13" s="1"/>
  <c r="B444" i="13"/>
  <c r="C447" i="13"/>
  <c r="E517" i="13" s="1"/>
  <c r="E335" i="13"/>
  <c r="E351" i="13" s="1"/>
  <c r="E345" i="13"/>
  <c r="E256" i="13"/>
  <c r="E269" i="13" s="1"/>
  <c r="D265" i="13"/>
  <c r="E259" i="13"/>
  <c r="F269" i="13" s="1"/>
  <c r="E384" i="13" l="1"/>
  <c r="D403" i="13" s="1"/>
  <c r="D384" i="13"/>
  <c r="E403" i="13" s="1"/>
  <c r="E513" i="13"/>
  <c r="D539" i="13" s="1"/>
  <c r="C369" i="13"/>
  <c r="E395" i="13" s="1"/>
  <c r="B366" i="13"/>
  <c r="B369" i="13" s="1"/>
  <c r="E398" i="13" s="1"/>
  <c r="B447" i="13"/>
  <c r="E520" i="13" s="1"/>
  <c r="A444" i="13"/>
  <c r="A447" i="13" s="1"/>
  <c r="E391" i="13"/>
  <c r="D410" i="13" s="1"/>
  <c r="D497" i="13"/>
  <c r="E499" i="13"/>
  <c r="D533" i="13" s="1"/>
  <c r="E516" i="13"/>
  <c r="E539" i="13" s="1"/>
  <c r="D534" i="13" l="1"/>
  <c r="D404" i="13"/>
  <c r="E397" i="13"/>
  <c r="F410" i="13" s="1"/>
  <c r="E519" i="13"/>
  <c r="F539" i="13" s="1"/>
  <c r="E522" i="13"/>
  <c r="G539" i="13" s="1"/>
  <c r="D499" i="13"/>
  <c r="E534" i="13" s="1"/>
  <c r="C497" i="13"/>
  <c r="C499" i="13" s="1"/>
  <c r="F533" i="13" s="1"/>
  <c r="E404" i="13"/>
  <c r="E394" i="13"/>
  <c r="E410" i="13" s="1"/>
  <c r="F534" i="13" l="1"/>
  <c r="E533" i="13"/>
  <c r="F151" i="13" l="1"/>
  <c r="F153" i="13" s="1"/>
  <c r="D136" i="13"/>
  <c r="E136" i="13" s="1"/>
  <c r="D130" i="13"/>
  <c r="D129" i="13"/>
  <c r="D119" i="13"/>
  <c r="D98" i="13"/>
  <c r="D99" i="13" s="1"/>
  <c r="D100" i="13" s="1"/>
  <c r="D102" i="13" s="1"/>
  <c r="C119" i="13" s="1"/>
  <c r="D143" i="13" l="1"/>
  <c r="E143" i="13" s="1"/>
  <c r="F143" i="13" s="1"/>
  <c r="E119" i="13"/>
  <c r="F136" i="13"/>
  <c r="D131" i="13"/>
  <c r="C120" i="13"/>
  <c r="C121" i="13" s="1"/>
  <c r="D120" i="13"/>
  <c r="D121" i="13"/>
  <c r="E120" i="13" l="1"/>
  <c r="D140" i="13"/>
  <c r="D137" i="13"/>
  <c r="E137" i="13" s="1"/>
  <c r="D144" i="13"/>
  <c r="E144" i="13" s="1"/>
  <c r="F144" i="13" s="1"/>
  <c r="D138" i="13" l="1"/>
  <c r="E121" i="13"/>
  <c r="F140" i="13" s="1"/>
  <c r="E140" i="13"/>
  <c r="F137" i="13"/>
  <c r="F138" i="13" s="1"/>
  <c r="E138" i="13"/>
  <c r="F90" i="11" l="1"/>
  <c r="C84" i="11"/>
  <c r="C81" i="11" s="1"/>
  <c r="D698" i="11"/>
  <c r="H687" i="11"/>
  <c r="D687" i="11"/>
  <c r="D690" i="11" s="1"/>
  <c r="D699" i="11" s="1"/>
  <c r="E630" i="11"/>
  <c r="E637" i="11" s="1"/>
  <c r="D654" i="11" s="1"/>
  <c r="D623" i="11"/>
  <c r="D622" i="11"/>
  <c r="D621" i="11"/>
  <c r="D606" i="11"/>
  <c r="D614" i="11" s="1"/>
  <c r="D617" i="11" s="1"/>
  <c r="D650" i="11" s="1"/>
  <c r="D667" i="11" s="1"/>
  <c r="E531" i="11"/>
  <c r="D512" i="11"/>
  <c r="D513" i="11" s="1"/>
  <c r="E523" i="11" s="1"/>
  <c r="E521" i="11"/>
  <c r="D497" i="11"/>
  <c r="D502" i="11" s="1"/>
  <c r="D413" i="11"/>
  <c r="E423" i="11" s="1"/>
  <c r="E520" i="11" s="1"/>
  <c r="D390" i="11"/>
  <c r="D376" i="11"/>
  <c r="E468" i="11" s="1"/>
  <c r="E469" i="11" s="1"/>
  <c r="D484" i="11" s="1"/>
  <c r="D573" i="11" s="1"/>
  <c r="F311" i="11"/>
  <c r="F306" i="11"/>
  <c r="F305" i="11"/>
  <c r="E284" i="11"/>
  <c r="E271" i="11"/>
  <c r="E311" i="11" s="1"/>
  <c r="E266" i="11"/>
  <c r="E306" i="11" s="1"/>
  <c r="D217" i="11"/>
  <c r="D265" i="11" s="1"/>
  <c r="D305" i="11" s="1"/>
  <c r="E241" i="11"/>
  <c r="D235" i="11"/>
  <c r="D223" i="11"/>
  <c r="D271" i="11" s="1"/>
  <c r="D311" i="11" s="1"/>
  <c r="E193" i="11"/>
  <c r="D187" i="11"/>
  <c r="E199" i="11" s="1"/>
  <c r="E201" i="11" s="1"/>
  <c r="D218" i="11" s="1"/>
  <c r="D266" i="11" s="1"/>
  <c r="D306" i="11" s="1"/>
  <c r="D168" i="11"/>
  <c r="E192" i="11" s="1"/>
  <c r="C187" i="11"/>
  <c r="C376" i="11"/>
  <c r="C168" i="11"/>
  <c r="H690" i="11" l="1"/>
  <c r="D694" i="11" s="1"/>
  <c r="D624" i="11"/>
  <c r="E632" i="11" s="1"/>
  <c r="E645" i="11"/>
  <c r="E629" i="11"/>
  <c r="E522" i="11"/>
  <c r="D503" i="11"/>
  <c r="E534" i="11" s="1"/>
  <c r="D477" i="11"/>
  <c r="D566" i="11" s="1"/>
  <c r="E420" i="11"/>
  <c r="E430" i="11" s="1"/>
  <c r="D402" i="11"/>
  <c r="E243" i="11"/>
  <c r="E195" i="11"/>
  <c r="E176" i="11"/>
  <c r="E179" i="11" s="1"/>
  <c r="E256" i="11" l="1"/>
  <c r="E269" i="11" s="1"/>
  <c r="E208" i="11"/>
  <c r="E631" i="11"/>
  <c r="D659" i="11" s="1"/>
  <c r="E636" i="11"/>
  <c r="E638" i="11" s="1"/>
  <c r="D655" i="11" s="1"/>
  <c r="D658" i="11"/>
  <c r="D651" i="11"/>
  <c r="D543" i="11"/>
  <c r="D545" i="11" s="1"/>
  <c r="E548" i="11" s="1"/>
  <c r="E569" i="11" s="1"/>
  <c r="E574" i="11"/>
  <c r="E532" i="11"/>
  <c r="E547" i="11"/>
  <c r="D403" i="11"/>
  <c r="E431" i="11"/>
  <c r="E422" i="11"/>
  <c r="E283" i="11"/>
  <c r="E248" i="11"/>
  <c r="E265" i="11" s="1"/>
  <c r="E305" i="11" s="1"/>
  <c r="E247" i="11"/>
  <c r="E194" i="11"/>
  <c r="D222" i="11" s="1"/>
  <c r="D270" i="11" s="1"/>
  <c r="D310" i="11" s="1"/>
  <c r="E240" i="11"/>
  <c r="E242" i="11" s="1"/>
  <c r="E270" i="11" s="1"/>
  <c r="E310" i="11" s="1"/>
  <c r="D213" i="11"/>
  <c r="D261" i="11" s="1"/>
  <c r="E296" i="11" l="1"/>
  <c r="F309" i="11" s="1"/>
  <c r="E249" i="11"/>
  <c r="D652" i="11"/>
  <c r="D668" i="11"/>
  <c r="E434" i="11"/>
  <c r="D454" i="11" s="1"/>
  <c r="E530" i="11"/>
  <c r="E533" i="11" s="1"/>
  <c r="E559" i="11" s="1"/>
  <c r="E549" i="11"/>
  <c r="E570" i="11" s="1"/>
  <c r="E432" i="11"/>
  <c r="D485" i="11"/>
  <c r="D574" i="11" s="1"/>
  <c r="E286" i="11"/>
  <c r="F310" i="11" s="1"/>
  <c r="D301" i="11"/>
  <c r="E261" i="11"/>
  <c r="D214" i="11"/>
  <c r="D262" i="11" s="1"/>
  <c r="D221" i="11"/>
  <c r="D269" i="11" s="1"/>
  <c r="D309" i="11" s="1"/>
  <c r="D456" i="11" l="1"/>
  <c r="E459" i="11" s="1"/>
  <c r="D480" i="11" s="1"/>
  <c r="D569" i="11" s="1"/>
  <c r="E309" i="11"/>
  <c r="E433" i="11"/>
  <c r="D669" i="11"/>
  <c r="D695" i="11"/>
  <c r="D696" i="11" s="1"/>
  <c r="E458" i="11"/>
  <c r="D215" i="11"/>
  <c r="D263" i="11"/>
  <c r="E262" i="11"/>
  <c r="E263" i="11" s="1"/>
  <c r="D302" i="11"/>
  <c r="E302" i="11" s="1"/>
  <c r="F302" i="11" s="1"/>
  <c r="E301" i="11"/>
  <c r="E470" i="11" l="1"/>
  <c r="E471" i="11" s="1"/>
  <c r="E460" i="11"/>
  <c r="D481" i="11" s="1"/>
  <c r="D570" i="11" s="1"/>
  <c r="D476" i="11"/>
  <c r="D303" i="11"/>
  <c r="E303" i="11"/>
  <c r="F301" i="11"/>
  <c r="F303" i="11" s="1"/>
  <c r="D565" i="11" l="1"/>
  <c r="C489" i="11"/>
  <c r="D478" i="11"/>
  <c r="E558" i="11" s="1"/>
  <c r="E565" i="11"/>
  <c r="D567" i="11"/>
  <c r="E557" i="11" l="1"/>
  <c r="E560" i="11" s="1"/>
  <c r="E567" i="11" s="1"/>
  <c r="E573" i="11"/>
  <c r="E566" i="11"/>
  <c r="C99" i="11" l="1"/>
  <c r="C107" i="11"/>
  <c r="C110" i="11" s="1"/>
  <c r="D590" i="9"/>
  <c r="C597" i="9" s="1"/>
  <c r="F569" i="9"/>
  <c r="C580" i="9" s="1"/>
  <c r="C595" i="9" s="1"/>
  <c r="F571" i="9"/>
  <c r="G501" i="9"/>
  <c r="B498" i="9"/>
  <c r="G500" i="9" s="1"/>
  <c r="F477" i="9"/>
  <c r="F476" i="9"/>
  <c r="F473" i="9"/>
  <c r="C475" i="9"/>
  <c r="F475" i="9" s="1"/>
  <c r="C474" i="9"/>
  <c r="F474" i="9" s="1"/>
  <c r="E461" i="9"/>
  <c r="E463" i="9" s="1"/>
  <c r="E455" i="9"/>
  <c r="E454" i="9"/>
  <c r="E318" i="9"/>
  <c r="F318" i="9" s="1"/>
  <c r="E317" i="9"/>
  <c r="F317" i="9" s="1"/>
  <c r="F316" i="9"/>
  <c r="D251" i="9"/>
  <c r="D253" i="9"/>
  <c r="G254" i="9"/>
  <c r="D333" i="9" s="1"/>
  <c r="E172" i="9"/>
  <c r="E171" i="9"/>
  <c r="E170" i="9"/>
  <c r="D149" i="9"/>
  <c r="D146" i="9"/>
  <c r="G146" i="9"/>
  <c r="D142" i="9"/>
  <c r="D144" i="9" s="1"/>
  <c r="D145" i="9" s="1"/>
  <c r="D137" i="9"/>
  <c r="D138" i="9" s="1"/>
  <c r="D156" i="9" s="1"/>
  <c r="B114" i="9"/>
  <c r="C331" i="8"/>
  <c r="C330" i="8" s="1"/>
  <c r="E325" i="8"/>
  <c r="E322" i="8"/>
  <c r="E320" i="8"/>
  <c r="C300" i="8"/>
  <c r="E317" i="8" s="1"/>
  <c r="B285" i="8"/>
  <c r="B275" i="8"/>
  <c r="C245" i="8"/>
  <c r="C239" i="8"/>
  <c r="C240" i="8" s="1"/>
  <c r="C244" i="8" s="1"/>
  <c r="C237" i="8"/>
  <c r="C208" i="8"/>
  <c r="C209" i="8" s="1"/>
  <c r="C213" i="8" s="1"/>
  <c r="C215" i="8" s="1"/>
  <c r="C206" i="8"/>
  <c r="E174" i="8"/>
  <c r="H165" i="8"/>
  <c r="E115" i="8"/>
  <c r="E122" i="8" s="1"/>
  <c r="E123" i="8" s="1"/>
  <c r="E106" i="8"/>
  <c r="E107" i="8" s="1"/>
  <c r="E110" i="8" s="1"/>
  <c r="E111" i="8" s="1"/>
  <c r="E95" i="8"/>
  <c r="E96" i="8" s="1"/>
  <c r="E85" i="8"/>
  <c r="E86" i="8" s="1"/>
  <c r="G95" i="8" s="1"/>
  <c r="E101" i="8" s="1"/>
  <c r="E102" i="8" s="1"/>
  <c r="F54" i="8"/>
  <c r="E39" i="8"/>
  <c r="E40" i="8" s="1"/>
  <c r="G85" i="8"/>
  <c r="H322" i="8"/>
  <c r="H325" i="8"/>
  <c r="H39" i="8"/>
  <c r="H54" i="8"/>
  <c r="F320" i="9" l="1"/>
  <c r="C596" i="9"/>
  <c r="G596" i="9" s="1"/>
  <c r="E319" i="8"/>
  <c r="E324" i="8"/>
  <c r="F570" i="9"/>
  <c r="C582" i="9" s="1"/>
  <c r="C581" i="9" s="1"/>
  <c r="G595" i="9" s="1"/>
  <c r="F478" i="9"/>
  <c r="E456" i="9"/>
  <c r="D254" i="9"/>
  <c r="C261" i="9" s="1"/>
  <c r="E321" i="8"/>
  <c r="D337" i="8" s="1"/>
  <c r="D336" i="8" s="1"/>
  <c r="C246" i="8"/>
  <c r="C301" i="8"/>
  <c r="D228" i="8"/>
  <c r="D230" i="8" s="1"/>
  <c r="G97" i="8"/>
  <c r="J102" i="8" s="1"/>
  <c r="J101" i="8" s="1"/>
  <c r="E44" i="8"/>
  <c r="E45" i="8" s="1"/>
  <c r="F53" i="8" s="1"/>
  <c r="F55" i="8" s="1"/>
  <c r="E61" i="8" s="1"/>
  <c r="E62" i="8" s="1"/>
  <c r="G597" i="9" l="1"/>
  <c r="C333" i="8"/>
  <c r="C334" i="8" s="1"/>
  <c r="E467" i="9"/>
  <c r="F484" i="9" s="1"/>
  <c r="F485" i="9"/>
  <c r="D325" i="9"/>
  <c r="D335" i="9" s="1"/>
  <c r="D147" i="9"/>
  <c r="D389" i="7"/>
  <c r="D390" i="7" s="1"/>
  <c r="D379" i="7"/>
  <c r="D380" i="7" s="1"/>
  <c r="D376" i="7"/>
  <c r="D352" i="7"/>
  <c r="D353" i="7" s="1"/>
  <c r="D365" i="7" s="1"/>
  <c r="D325" i="7"/>
  <c r="D326" i="7" s="1"/>
  <c r="D291" i="7"/>
  <c r="D287" i="7"/>
  <c r="D259" i="7"/>
  <c r="E275" i="7" s="1"/>
  <c r="E277" i="7" s="1"/>
  <c r="D279" i="7" s="1"/>
  <c r="D280" i="7" s="1"/>
  <c r="F228" i="7"/>
  <c r="E216" i="7"/>
  <c r="E219" i="7" s="1"/>
  <c r="E220" i="7" s="1"/>
  <c r="E210" i="7"/>
  <c r="D198" i="7"/>
  <c r="D192" i="7"/>
  <c r="D186" i="7"/>
  <c r="D204" i="7" s="1"/>
  <c r="D205" i="7" s="1"/>
  <c r="E167" i="7"/>
  <c r="E168" i="7" s="1"/>
  <c r="E175" i="7" s="1"/>
  <c r="E176" i="7" s="1"/>
  <c r="E153" i="7"/>
  <c r="E154" i="7" s="1"/>
  <c r="E160" i="7" s="1"/>
  <c r="E161" i="7" s="1"/>
  <c r="E142" i="7"/>
  <c r="F106" i="7"/>
  <c r="F107" i="7" s="1"/>
  <c r="F113" i="7" s="1"/>
  <c r="F114" i="7" s="1"/>
  <c r="F117" i="7" s="1"/>
  <c r="F123" i="7" s="1"/>
  <c r="F124" i="7" s="1"/>
  <c r="G352" i="7"/>
  <c r="G325" i="7"/>
  <c r="D148" i="9" l="1"/>
  <c r="D150" i="9" s="1"/>
  <c r="F489" i="9"/>
  <c r="G502" i="9" s="1"/>
  <c r="D385" i="7"/>
  <c r="D386" i="7" s="1"/>
  <c r="D364" i="7"/>
  <c r="H368" i="7" s="1"/>
  <c r="H369" i="7" s="1"/>
  <c r="E217" i="7"/>
  <c r="F118" i="7"/>
  <c r="D151" i="9" l="1"/>
  <c r="D152" i="9" s="1"/>
  <c r="G503" i="9"/>
  <c r="K501" i="9"/>
  <c r="D157" i="9"/>
  <c r="D158" i="9" s="1"/>
  <c r="E173" i="9" s="1"/>
  <c r="E174" i="9" s="1"/>
  <c r="H573" i="6"/>
  <c r="H561" i="6"/>
  <c r="H560" i="6" s="1"/>
  <c r="E524" i="6"/>
  <c r="H497" i="6"/>
  <c r="H499" i="6" s="1"/>
  <c r="H500" i="6" s="1"/>
  <c r="H495" i="6"/>
  <c r="D481" i="6"/>
  <c r="E464" i="6"/>
  <c r="E465" i="6" s="1"/>
  <c r="E459" i="6"/>
  <c r="D446" i="6"/>
  <c r="D447" i="6" s="1"/>
  <c r="E316" i="6"/>
  <c r="E313" i="6"/>
  <c r="E319" i="6" l="1"/>
  <c r="E320" i="6" s="1"/>
  <c r="J319" i="6"/>
  <c r="J320" i="6" s="1"/>
  <c r="D226" i="6"/>
  <c r="E224" i="6"/>
  <c r="E226" i="6" s="1"/>
  <c r="C215" i="6"/>
  <c r="J215" i="6" s="1"/>
  <c r="H207" i="6"/>
  <c r="C207" i="6"/>
  <c r="F159" i="6"/>
  <c r="H141" i="6"/>
  <c r="F128" i="6"/>
  <c r="F121" i="6"/>
  <c r="H104" i="6"/>
  <c r="C203" i="6"/>
  <c r="C178" i="6"/>
  <c r="F150" i="6"/>
  <c r="F151" i="6" s="1"/>
  <c r="M45" i="4" l="1"/>
  <c r="H162" i="4"/>
  <c r="L150" i="4" s="1"/>
  <c r="I155" i="4"/>
  <c r="L151" i="4" s="1"/>
  <c r="L152" i="4" s="1"/>
  <c r="I146" i="4" s="1"/>
  <c r="L156" i="4" s="1"/>
  <c r="G160" i="4"/>
  <c r="L157" i="4" s="1"/>
  <c r="M30" i="4"/>
  <c r="M44" i="4"/>
  <c r="J118" i="4"/>
  <c r="J120" i="4" s="1"/>
  <c r="Q29" i="4" s="1"/>
  <c r="K116" i="4"/>
  <c r="K118" i="4" s="1"/>
  <c r="J116" i="4"/>
  <c r="J107" i="4"/>
  <c r="J108" i="4" s="1"/>
  <c r="J103" i="4"/>
  <c r="J104" i="4" s="1"/>
  <c r="K93" i="4"/>
  <c r="K95" i="4" s="1"/>
  <c r="R28" i="4" s="1"/>
  <c r="J93" i="4"/>
  <c r="I71" i="4"/>
  <c r="I62" i="4" s="1"/>
  <c r="I64" i="4" s="1"/>
  <c r="T27" i="4" s="1"/>
  <c r="T30" i="4" s="1"/>
  <c r="I70" i="4"/>
  <c r="H62" i="4" s="1"/>
  <c r="J54" i="4"/>
  <c r="H48" i="4"/>
  <c r="H49" i="4" s="1"/>
  <c r="G76" i="5"/>
  <c r="G79" i="5"/>
  <c r="C37" i="5"/>
  <c r="E68" i="5"/>
  <c r="G75" i="5" s="1"/>
  <c r="D69" i="5"/>
  <c r="E69" i="5" s="1"/>
  <c r="H32" i="5"/>
  <c r="C31" i="5"/>
  <c r="D31" i="5" s="1"/>
  <c r="D32" i="5" s="1"/>
  <c r="D34" i="5" s="1"/>
  <c r="H42" i="5" s="1"/>
  <c r="L158" i="4" l="1"/>
  <c r="M31" i="4" s="1"/>
  <c r="H41" i="4"/>
  <c r="I41" i="4"/>
  <c r="H64" i="4"/>
  <c r="S27" i="4" s="1"/>
  <c r="M36" i="4"/>
  <c r="M29" i="4"/>
  <c r="K120" i="4"/>
  <c r="R29" i="4" s="1"/>
  <c r="J95" i="4"/>
  <c r="S28" i="4" s="1"/>
  <c r="M28" i="4"/>
  <c r="G77" i="5"/>
  <c r="G85" i="5"/>
  <c r="G93" i="5" s="1"/>
  <c r="G94" i="5" s="1"/>
  <c r="G84" i="5"/>
  <c r="G98" i="5" s="1"/>
  <c r="C38" i="5"/>
  <c r="C39" i="5" s="1"/>
  <c r="C42" i="5" s="1"/>
  <c r="C43" i="5" s="1"/>
  <c r="H43" i="5"/>
  <c r="F69" i="5"/>
  <c r="F70" i="5" s="1"/>
  <c r="E70" i="5"/>
  <c r="D70" i="5"/>
  <c r="D72" i="5" s="1"/>
  <c r="C32" i="5"/>
  <c r="C34" i="5" s="1"/>
  <c r="I43" i="4" l="1"/>
  <c r="R26" i="4" s="1"/>
  <c r="L102" i="4"/>
  <c r="M27" i="4"/>
  <c r="S30" i="4"/>
  <c r="Q33" i="4" s="1"/>
  <c r="H43" i="4"/>
  <c r="Q26" i="4" s="1"/>
  <c r="E72" i="5"/>
  <c r="C83" i="5" s="1"/>
  <c r="C84" i="5" s="1"/>
  <c r="C88" i="5" s="1"/>
  <c r="C76" i="5"/>
  <c r="C77" i="5" s="1"/>
  <c r="C80" i="5" s="1"/>
  <c r="C87" i="5" s="1"/>
  <c r="F72" i="5"/>
  <c r="G87" i="5"/>
  <c r="G86" i="5" s="1"/>
  <c r="G90" i="5" l="1"/>
  <c r="G91" i="5" s="1"/>
  <c r="G107" i="5" s="1"/>
  <c r="G99" i="5"/>
  <c r="G100" i="5" s="1"/>
  <c r="G103" i="5" s="1"/>
  <c r="G106" i="5" s="1"/>
  <c r="C89" i="5"/>
  <c r="I26" i="4"/>
  <c r="H26" i="4"/>
  <c r="L844" i="3"/>
  <c r="L846" i="3" s="1"/>
  <c r="K844" i="3"/>
  <c r="K846" i="3" s="1"/>
  <c r="K830" i="3"/>
  <c r="L791" i="3"/>
  <c r="L793" i="3" s="1"/>
  <c r="K791" i="3"/>
  <c r="K793" i="3" s="1"/>
  <c r="K778" i="3"/>
  <c r="K769" i="3"/>
  <c r="K770" i="3" s="1"/>
  <c r="L769" i="3"/>
  <c r="L768" i="3"/>
  <c r="K758" i="3"/>
  <c r="K757" i="3"/>
  <c r="K735" i="3"/>
  <c r="L735" i="3"/>
  <c r="F496" i="3"/>
  <c r="E496" i="3"/>
  <c r="D496" i="3"/>
  <c r="C496" i="3"/>
  <c r="E478" i="3"/>
  <c r="F423" i="3"/>
  <c r="E477" i="3" s="1"/>
  <c r="E371" i="3"/>
  <c r="E373" i="3" s="1"/>
  <c r="H354" i="3"/>
  <c r="E354" i="3"/>
  <c r="E356" i="3" s="1"/>
  <c r="H319" i="3"/>
  <c r="H321" i="3" s="1"/>
  <c r="E321" i="3"/>
  <c r="E323" i="3" s="1"/>
  <c r="F307" i="3"/>
  <c r="F257" i="3" s="1"/>
  <c r="F255" i="3"/>
  <c r="D255" i="3"/>
  <c r="D257" i="3" s="1"/>
  <c r="F239" i="3"/>
  <c r="F229" i="3"/>
  <c r="D228" i="3"/>
  <c r="D230" i="3" s="1"/>
  <c r="C205" i="3"/>
  <c r="F182" i="3"/>
  <c r="F184" i="3" s="1"/>
  <c r="F186" i="3" s="1"/>
  <c r="E182" i="3"/>
  <c r="E184" i="3" s="1"/>
  <c r="E186" i="3" s="1"/>
  <c r="D182" i="3"/>
  <c r="D184" i="3" s="1"/>
  <c r="D186" i="3" s="1"/>
  <c r="G173" i="3"/>
  <c r="E173" i="3"/>
  <c r="E175" i="3" s="1"/>
  <c r="E112" i="3"/>
  <c r="E114" i="3" s="1"/>
  <c r="C143" i="3"/>
  <c r="C144" i="3" s="1"/>
  <c r="C138" i="3"/>
  <c r="C139" i="3" s="1"/>
  <c r="C131" i="3"/>
  <c r="C132" i="3" s="1"/>
  <c r="C126" i="3"/>
  <c r="C127" i="3" s="1"/>
  <c r="F336" i="2"/>
  <c r="E336" i="2"/>
  <c r="D336" i="2"/>
  <c r="G335" i="2"/>
  <c r="F335" i="2"/>
  <c r="E335" i="2"/>
  <c r="D335" i="2"/>
  <c r="D339" i="2"/>
  <c r="C337" i="2"/>
  <c r="C338" i="2" s="1"/>
  <c r="C340" i="2" s="1"/>
  <c r="G336" i="2"/>
  <c r="G297" i="2"/>
  <c r="F297" i="2"/>
  <c r="E297" i="2"/>
  <c r="D297" i="2"/>
  <c r="C298" i="2"/>
  <c r="C299" i="2" s="1"/>
  <c r="C301" i="2" s="1"/>
  <c r="D300" i="2"/>
  <c r="E300" i="2" s="1"/>
  <c r="F300" i="2" s="1"/>
  <c r="G300" i="2" s="1"/>
  <c r="H300" i="2" s="1"/>
  <c r="E260" i="2"/>
  <c r="F260" i="2" s="1"/>
  <c r="G260" i="2" s="1"/>
  <c r="F245" i="2"/>
  <c r="D245" i="2"/>
  <c r="F227" i="2"/>
  <c r="E225" i="2"/>
  <c r="E230" i="2" s="1"/>
  <c r="E232" i="2" s="1"/>
  <c r="G198" i="2"/>
  <c r="G200" i="2" s="1"/>
  <c r="C198" i="2"/>
  <c r="C200" i="2" s="1"/>
  <c r="D197" i="2"/>
  <c r="D198" i="2" s="1"/>
  <c r="E157" i="2"/>
  <c r="E158" i="2" s="1"/>
  <c r="D157" i="2"/>
  <c r="D158" i="2" s="1"/>
  <c r="I142" i="2"/>
  <c r="D142" i="2"/>
  <c r="H28" i="4" l="1"/>
  <c r="Q25" i="4" s="1"/>
  <c r="Q30" i="4" s="1"/>
  <c r="G108" i="5"/>
  <c r="L770" i="3"/>
  <c r="L772" i="3" s="1"/>
  <c r="K772" i="3"/>
  <c r="K759" i="3"/>
  <c r="L741" i="3"/>
  <c r="L742" i="3" s="1"/>
  <c r="L744" i="3" s="1"/>
  <c r="L749" i="3" s="1"/>
  <c r="C499" i="3"/>
  <c r="I499" i="3" s="1"/>
  <c r="I500" i="3" s="1"/>
  <c r="D298" i="2"/>
  <c r="E298" i="2" s="1"/>
  <c r="E299" i="2" s="1"/>
  <c r="E301" i="2" s="1"/>
  <c r="I31" i="4"/>
  <c r="M26" i="4" s="1"/>
  <c r="M40" i="4" s="1"/>
  <c r="M42" i="4" s="1"/>
  <c r="M47" i="4" s="1"/>
  <c r="Q37" i="4" s="1"/>
  <c r="I28" i="4"/>
  <c r="R25" i="4" s="1"/>
  <c r="R30" i="4" s="1"/>
  <c r="C500" i="3"/>
  <c r="I502" i="3" s="1"/>
  <c r="I503" i="3" s="1"/>
  <c r="G330" i="3"/>
  <c r="G269" i="3"/>
  <c r="G267" i="3"/>
  <c r="F364" i="3"/>
  <c r="H323" i="3"/>
  <c r="G332" i="3" s="1"/>
  <c r="H356" i="3"/>
  <c r="F366" i="3" s="1"/>
  <c r="F240" i="3"/>
  <c r="F228" i="3"/>
  <c r="F230" i="3" s="1"/>
  <c r="D242" i="3" s="1"/>
  <c r="G175" i="3"/>
  <c r="G101" i="3"/>
  <c r="G103" i="3" s="1"/>
  <c r="E101" i="3"/>
  <c r="E339" i="2"/>
  <c r="D337" i="2"/>
  <c r="E337" i="2" s="1"/>
  <c r="F337" i="2" s="1"/>
  <c r="F298" i="2"/>
  <c r="D299" i="2"/>
  <c r="D301" i="2" s="1"/>
  <c r="D227" i="2"/>
  <c r="D230" i="2" s="1"/>
  <c r="D232" i="2" s="1"/>
  <c r="D200" i="2"/>
  <c r="D233" i="2" s="1"/>
  <c r="E197" i="2"/>
  <c r="F225" i="2"/>
  <c r="D124" i="2"/>
  <c r="D126" i="2" s="1"/>
  <c r="H124" i="2"/>
  <c r="H126" i="2" s="1"/>
  <c r="F124" i="2"/>
  <c r="F126" i="2" s="1"/>
  <c r="D138" i="2" s="1"/>
  <c r="D148" i="2" s="1"/>
  <c r="D149" i="2" s="1"/>
  <c r="G111" i="2"/>
  <c r="G116" i="2" s="1"/>
  <c r="G90" i="2"/>
  <c r="F91" i="2"/>
  <c r="F93" i="2" s="1"/>
  <c r="G88" i="2"/>
  <c r="E39" i="2"/>
  <c r="D39" i="2" s="1"/>
  <c r="C39" i="2" s="1"/>
  <c r="E38" i="2"/>
  <c r="H39" i="2"/>
  <c r="H40" i="2" s="1"/>
  <c r="Q32" i="4" l="1"/>
  <c r="Q34" i="4" s="1"/>
  <c r="Q38" i="4" s="1"/>
  <c r="Q39" i="4"/>
  <c r="K776" i="3"/>
  <c r="K777" i="3" s="1"/>
  <c r="K779" i="3" s="1"/>
  <c r="C501" i="3"/>
  <c r="C505" i="3" s="1"/>
  <c r="F299" i="2"/>
  <c r="F301" i="2" s="1"/>
  <c r="G298" i="2"/>
  <c r="G299" i="2" s="1"/>
  <c r="G301" i="2" s="1"/>
  <c r="E310" i="2" s="1"/>
  <c r="D38" i="2"/>
  <c r="D40" i="2" s="1"/>
  <c r="E40" i="2"/>
  <c r="E307" i="2"/>
  <c r="E306" i="2"/>
  <c r="E103" i="3"/>
  <c r="C119" i="3" s="1"/>
  <c r="E109" i="3"/>
  <c r="E458" i="3" s="1"/>
  <c r="E471" i="3" s="1"/>
  <c r="E475" i="3" s="1"/>
  <c r="E480" i="3" s="1"/>
  <c r="F338" i="2"/>
  <c r="G337" i="2"/>
  <c r="G338" i="2" s="1"/>
  <c r="F339" i="2"/>
  <c r="E338" i="2"/>
  <c r="E340" i="2" s="1"/>
  <c r="D338" i="2"/>
  <c r="D340" i="2" s="1"/>
  <c r="E345" i="2" s="1"/>
  <c r="D234" i="2"/>
  <c r="D261" i="2" s="1"/>
  <c r="D262" i="2" s="1"/>
  <c r="F230" i="2"/>
  <c r="F232" i="2" s="1"/>
  <c r="F234" i="2" s="1"/>
  <c r="F261" i="2" s="1"/>
  <c r="F262" i="2" s="1"/>
  <c r="G225" i="2"/>
  <c r="E198" i="2"/>
  <c r="E200" i="2" s="1"/>
  <c r="E233" i="2" s="1"/>
  <c r="E234" i="2" s="1"/>
  <c r="E261" i="2" s="1"/>
  <c r="E262" i="2" s="1"/>
  <c r="F197" i="2"/>
  <c r="F198" i="2" s="1"/>
  <c r="G91" i="2"/>
  <c r="G93" i="2" s="1"/>
  <c r="I138" i="2"/>
  <c r="D139" i="2"/>
  <c r="I139" i="2" s="1"/>
  <c r="E148" i="2" s="1"/>
  <c r="E149" i="2" s="1"/>
  <c r="C38" i="2" l="1"/>
  <c r="C40" i="2" s="1"/>
  <c r="E309" i="2"/>
  <c r="E308" i="2"/>
  <c r="E311" i="2" s="1"/>
  <c r="D483" i="3"/>
  <c r="D484" i="3" s="1"/>
  <c r="C504" i="3"/>
  <c r="C506" i="3" s="1"/>
  <c r="E346" i="2"/>
  <c r="G339" i="2"/>
  <c r="F340" i="2"/>
  <c r="F200" i="2"/>
  <c r="G233" i="2" s="1"/>
  <c r="G229" i="2"/>
  <c r="G230" i="2"/>
  <c r="G232" i="2" s="1"/>
  <c r="G234" i="2" s="1"/>
  <c r="G261" i="2" s="1"/>
  <c r="G262" i="2" s="1"/>
  <c r="B38" i="2"/>
  <c r="B40" i="2" s="1"/>
  <c r="H339" i="2" l="1"/>
  <c r="G340" i="2"/>
  <c r="E349" i="2" s="1"/>
  <c r="E347" i="2"/>
  <c r="A38" i="2"/>
  <c r="A40" i="2" s="1"/>
  <c r="E348" i="2" l="1"/>
  <c r="E350" i="2" s="1"/>
</calcChain>
</file>

<file path=xl/sharedStrings.xml><?xml version="1.0" encoding="utf-8"?>
<sst xmlns="http://schemas.openxmlformats.org/spreadsheetml/2006/main" count="4153" uniqueCount="3022">
  <si>
    <t>דוא״ל: shay.tsaban@gmail.com</t>
  </si>
  <si>
    <t>נייד: 050-6551519</t>
  </si>
  <si>
    <t>פייסבוק: Shay Tsaban</t>
  </si>
  <si>
    <t>אינסטגרם: shaytsaban</t>
  </si>
  <si>
    <t>נושאי הקורס:</t>
  </si>
  <si>
    <t>מסים על ההכנסה</t>
  </si>
  <si>
    <t>היוון עלויות אשראי</t>
  </si>
  <si>
    <t>IAS 12</t>
  </si>
  <si>
    <t>IAS 23</t>
  </si>
  <si>
    <t>חכירות</t>
  </si>
  <si>
    <t>IFRS 16</t>
  </si>
  <si>
    <t>תקן 40</t>
  </si>
  <si>
    <t>אופן הלמידה: בכיתה פרונטלית, בתוספת הקלטה, בתוספת שידור לבית לשם נוחות.</t>
  </si>
  <si>
    <t xml:space="preserve">סיוע לכל מי שצריך בצוק העתים: בתיאום עמי ו/או בהתאם לנהלים שיועברו / הועברו אליכם. </t>
  </si>
  <si>
    <t>סוגיות מדידה א - הרצאה 1 - מסים על ההכנסה</t>
  </si>
  <si>
    <t xml:space="preserve">שורת המסים על ההכנסה היא אחת מהשורות המשמעותיות ביותר בדוחות רווח והפסד של חברות. </t>
  </si>
  <si>
    <t xml:space="preserve">אין פליאה בכך שקיים תקן חשבונאי שלם וייעודי שעוסק בשאלה, כיצד למדוד, כיצד לדווח וכיצד להעניק גילוי </t>
  </si>
  <si>
    <t xml:space="preserve">למסים אלו ולאופן חישובם. בעיקר חשובים הדברים, משום שבעוד שהמסים המשולמים בפועל לרשויות המס - </t>
  </si>
  <si>
    <t xml:space="preserve">כאן נכנס IAS 12 לתמונה. הוא מגדיר שני מושגים: מסים שוטפים (current tax) ומסים נדחים (deferred tax). </t>
  </si>
  <si>
    <t>החייבת המחושבת על פי חוקי המס.</t>
  </si>
  <si>
    <t xml:space="preserve">באופן זמני (בתנאים מסוימים) בין הדיווחים לצורך מס לבין הדיווחים החשבונאיים. </t>
  </si>
  <si>
    <t xml:space="preserve">המשקף את ערכם התיאורטי שהיה מדווח, אילו אכן היינו מדווחים על המדידה של הנכסים לפי חוקי המס, </t>
  </si>
  <si>
    <t>שעשויים להיות שונים מהעקרונות והאומדנים החשבונאיים המתייחסים.</t>
  </si>
  <si>
    <t>נניח, למשל, שקנינו מכונה לחימום נקניק לעובדי המשרד בעלות של 100,000 דולר, ובכוונתנו להפחית אותה</t>
  </si>
  <si>
    <t>על פני אורך חיים שימושיים של 10 שנים. ערך הספרים של המכונה במועד רכישתה יהיה 100,000 דולר, והוא</t>
  </si>
  <si>
    <t>ירד ב-10,000 כל שנה (בהנחה שהפחת בשיטת הקו הישר). עוד נניח שלפי תקנות מס הכנסה (ניכויים בשל פחת)</t>
  </si>
  <si>
    <t>ניתן להפחית את המכונה על פני 5 שנים בלבד. בהתאם, בסיס המס של הנכס קטן ב-20,000 דולר בכל שנה, סכום</t>
  </si>
  <si>
    <t>שינוכה לשם חישוב ההכנסה החייבת, שהיא הבסיס לחישוב המסים השוטפים.</t>
  </si>
  <si>
    <t xml:space="preserve">כתוצאה מכך, ייווצר לאורך זמן פער בין ערך הספרים של הנכס (או התחייבות) לבין בסיס המס שלו. הפרש </t>
  </si>
  <si>
    <t xml:space="preserve">זה ייקרא בשם הפרש זמני. </t>
  </si>
  <si>
    <t xml:space="preserve">וחשוב לעצור ולנסות לחשוב ביחד, מדוע בדיוק (כאן נעצור ונפרק יחד אתכם את הדוגמא, יחד). </t>
  </si>
  <si>
    <t>הנכס ושיעור המס שינבע מכך. בדוגמת הנקניק לעיל, אם הציפייה היא למכור את המכונה בעתיד, שיעור המס</t>
  </si>
  <si>
    <t>שיחול במכירה הוא זה שישמש לחישוב סכום הנכס; בעוד שאם הציפייה היא להחזיק בה, שיעור המס השוטף</t>
  </si>
  <si>
    <t xml:space="preserve">הוא זה שיחול לשם חישוב סכום נכס המס הנדחה. </t>
  </si>
  <si>
    <t>ואם כך, המטרה של IAS 12 היא ליצור מצב שבו הוצאות המס בדוח רווח והפסד ישקפו באופן מלא את ההשלכות</t>
  </si>
  <si>
    <t xml:space="preserve">הן של המסים השוטפים והן של המסים הנדחים המתייחסות לעסקאות ואירועים המשתייכים לתקופת הדיווח. </t>
  </si>
  <si>
    <t>באופן כזה, ניתן להראות את ההשפעה הכלכלית האמיתית, הכוללת, המיסויית - של עסקאות ואירועים שהתרחשו</t>
  </si>
  <si>
    <t xml:space="preserve">במהלך התקופה, הן ברמת תוצאות הפעילות (דוח רווח והפסד) והן ברמת הדוח על המצב הכספי (מאזן). </t>
  </si>
  <si>
    <t>רקע והדגמה בסיסית</t>
  </si>
  <si>
    <t>דוגמא שלמה בסיסית מס׳ 1: נדל״ן להשקעה הנמדד בשווי הוגן</t>
  </si>
  <si>
    <t>בתאריך 1.1.2012 רכשה חברה נדל״ן להשקעה בעלות של 1,000,000 ש״ח. החברה מודדת את פריטי הנדל״ן להשקעה</t>
  </si>
  <si>
    <t>שבבעלותה לפי מודל השווי ההוגן, כאשר שווי הנדל״ן לתום שנת 2012 מסתכם בסך של 1,100,000 ש״ח. החברה</t>
  </si>
  <si>
    <t>צופה כי תמכור את הנדל״ן בעתיד הנראה לעין, פעולה שתחויב במס חברות בשיעור קבוע של 25%.</t>
  </si>
  <si>
    <t>בהתאם לחקיקת המסים, רשויות המס מחייבות רווחים מעליית ערך נדל״ן במס רק במועד מימוש (מכירת) הנדל״ן.</t>
  </si>
  <si>
    <t>ב-2013, הרווח החשבונאי היה זהה, והחברה מכרה את הנדל״ן בתמורה ל-1,100,000 ש״ח.</t>
  </si>
  <si>
    <t>נדרש: טפלו באירוע בהיבט מסים על ההכנסה, כדלקמן:</t>
  </si>
  <si>
    <t>א. חשבו את המסים השוטפים (לתשלום) בכל שנה. התחילו מהרווח החשבונאי לפני מס, והתאימו אותו להכנסה החייבת.</t>
  </si>
  <si>
    <t>ב. חשבו את נכסי / התחייבויות המסים הנדחים, והסבירו את משמעותם וההיגיון בבסיסם, לתום כל אחת מהשנים.</t>
  </si>
  <si>
    <t xml:space="preserve">ג. רשמו פקודות יומן למתן ביטוי להוצאות מס (מס שוטף ומס נדחה). </t>
  </si>
  <si>
    <t xml:space="preserve">ד. הציגו את דוח רווח והפסד של החברה בכל שנה (וחשבו את הרווח החשבונאי הנקי). </t>
  </si>
  <si>
    <t>ה. הציגו את הביאור על המס התיאורטי: חשבו את מכפלת הרווח החשבונאי לפני מס בשיעור המס, והשוו להוצאות</t>
  </si>
  <si>
    <t>המס שהצגתם בדוחות רווח והפסד מסעיף ד. האם תמיד תתקיים זהות זו?</t>
  </si>
  <si>
    <t>פערים אלו, בין אופן ההתייחסות של רשות המסים לעסקאות ואירועים לבין האופן שבו הם מקבלים ביטוי</t>
  </si>
  <si>
    <t xml:space="preserve">חשבונאי בדיווח הכספי הם בלתי נמנעים. מדוע? משום שהחשבונאות רוצה לשקף אמת כלכלית, והמסים - </t>
  </si>
  <si>
    <t>רוצים לגייס תקציב למדינה.</t>
  </si>
  <si>
    <t>קניית מכונת נקניק</t>
  </si>
  <si>
    <t>בסיס המס</t>
  </si>
  <si>
    <t>ערך ספרים</t>
  </si>
  <si>
    <t>הפרש זמני חייב במס</t>
  </si>
  <si>
    <t xml:space="preserve">והוא חייב במס משום שכאשר יחלפו שנים ארוכות, או לחילופין, אם נמכור את הפריט - נשלם יותר מסים. </t>
  </si>
  <si>
    <t>שניתנה התקופה תתקזז בעתיד עם צורך בתשלום מס נוסף.</t>
  </si>
  <si>
    <t>כשרשות המסים מיטיבה עמי בהווה - היא כנראה תדפקני בעתיד, יש להכיר בהתחייבות למסים נדחים (למעט חריגים).</t>
  </si>
  <si>
    <t>כשרשות המסים מרעה עמי בהווה - היא כנראה תיטיב עמי בעתיד, יש להכיר בנכס מס נדחה.</t>
  </si>
  <si>
    <t>רווח חשבונאי לפני מס</t>
  </si>
  <si>
    <t>הפחת: רווח מע״ע (מעליית ערך) נדל״ן להשקעה</t>
  </si>
  <si>
    <t>הכנסה חייבת לצורך מס</t>
  </si>
  <si>
    <t>הוסף: רווח ממימוש נדל״ן להשקעה [ראות רשות המסים]</t>
  </si>
  <si>
    <t>שיעור המס הקבוע בחברה</t>
  </si>
  <si>
    <t>מס לתשלום (מסים שוטפים)</t>
  </si>
  <si>
    <t xml:space="preserve">בעצם, ב-2012, רשות המסים היטיבה עמי, בכך שלא הכירה ברווח מעליית ערך נדל״ן בסך 100,000 ש״ח - </t>
  </si>
  <si>
    <t xml:space="preserve">לפי ההפרש בין שווי נדל״ן עדכני של 1,100,000 לבין עלות הרכישה של 1,000,000. </t>
  </si>
  <si>
    <t xml:space="preserve">הדבר הוביל להקטנת ההכנסה החייבת ולקיטון במסים השוטפים. </t>
  </si>
  <si>
    <t>יחד עם זאת, רשות המסים לא ביטלה לגמרי את הצורך לשלם מס על רווחים מנדל״ן; היא פשוט דחתה</t>
  </si>
  <si>
    <t xml:space="preserve">את עיתוי ההכרה ברווח למועד מכירת הנכס. </t>
  </si>
  <si>
    <t>לכן, חשבונאית, למעשה בשנת 2012 נוצרה התחייבות לתשלום מס בעתיד (התחייבות שתסולק כאשר</t>
  </si>
  <si>
    <t>הנכס ימומש / יימכר) ולכן תוכר התחייבות למסים נדחים בסכום:</t>
  </si>
  <si>
    <t>ההכנסה שלא חויבה במס השנה</t>
  </si>
  <si>
    <t>כפול שיעור המס</t>
  </si>
  <si>
    <t>התחייבות למסים נדחים (הת׳ למ״נ)</t>
  </si>
  <si>
    <t>בשנת 2013, רשות המסים גבתה את המס בעד סכום זה (לאור המימוש של הנכס). בהתאם, חייבה אותי</t>
  </si>
  <si>
    <t>במס על 100,000 ש״ח נוספים, והנכס - כבר לא קיים, גם לא מנקודת ראות רשות המסים.</t>
  </si>
  <si>
    <t>יתרת ההתחייבות למסים נדחים</t>
  </si>
  <si>
    <t>רוב הדיון שלנו בקורס נשען על חישוב נכסי מ״נ (מסים נדחים) והתחייבויות מ״נ בגישה המאזנית:</t>
  </si>
  <si>
    <t>נדל״ן להשקעה</t>
  </si>
  <si>
    <t>התאמה</t>
  </si>
  <si>
    <t>שלילית</t>
  </si>
  <si>
    <t>להכנסה</t>
  </si>
  <si>
    <t>החייבת</t>
  </si>
  <si>
    <t xml:space="preserve">התאמה </t>
  </si>
  <si>
    <t>חיובית</t>
  </si>
  <si>
    <t>שיעור המס</t>
  </si>
  <si>
    <t>הת׳ למ״נ</t>
  </si>
  <si>
    <t>עלייה בהתחייבות</t>
  </si>
  <si>
    <t>למס נדחה</t>
  </si>
  <si>
    <t>ב-2012</t>
  </si>
  <si>
    <t>ירידה בהתחייבות</t>
  </si>
  <si>
    <t>ב-2013</t>
  </si>
  <si>
    <t>חובה הוצאות מסים נדחים</t>
  </si>
  <si>
    <t>זכות התחייבות למס נדחה</t>
  </si>
  <si>
    <t>חובה התחייבות למס נדחה</t>
  </si>
  <si>
    <t>זכות הוצאות מסים נדחים</t>
  </si>
  <si>
    <t>חובה הוצאות מסים שוטפים</t>
  </si>
  <si>
    <t>זכות מזומן</t>
  </si>
  <si>
    <t xml:space="preserve">הוצאות מס </t>
  </si>
  <si>
    <t>תמיד הכוונה היא לשוטפים ונדחים יחד</t>
  </si>
  <si>
    <t>רווח נקי</t>
  </si>
  <si>
    <r>
      <t xml:space="preserve">רווח </t>
    </r>
    <r>
      <rPr>
        <b/>
        <sz val="12"/>
        <color theme="1"/>
        <rFont val="David"/>
      </rPr>
      <t>חשבונאי</t>
    </r>
    <r>
      <rPr>
        <sz val="12"/>
        <color theme="1"/>
        <rFont val="David"/>
      </rPr>
      <t xml:space="preserve"> לפני מס</t>
    </r>
  </si>
  <si>
    <t>שימו לב, לא הכנסה חייבת</t>
  </si>
  <si>
    <t>הוצאות המס תיאורטיות</t>
  </si>
  <si>
    <t>הוצאות המס ברוו״ה</t>
  </si>
  <si>
    <t>זהו מקרה פרטי שבו הטיפול המלא בהוצאות המס, כולל מסים שוטפים ונדחים, מוביל את סך הוצאות המס</t>
  </si>
  <si>
    <t>להיות זהות לגמרי למכפלה הפשוטה של הרווח החשבונאי לפני מס בשיעור המס.</t>
  </si>
  <si>
    <t>בעולם האמיתי וכמובן במגוון תרגילים שנפתור בהמשך,  יוצגו מקרים שבהם יתקיים פער בין המס התיאורטי</t>
  </si>
  <si>
    <t xml:space="preserve">לבין הוצאות המס הנובעות מהטיפול החשבונאי המורכב. במקרה כזה, נצטרך להסביר כל שקל בפער הזה. </t>
  </si>
  <si>
    <t>במקרה זה הביאור על המס התיאורטי ״חלק״:</t>
  </si>
  <si>
    <t>דוגמא שלמה בסיסית מס׳ 2: נדל״ן להשקעה הנמדד בשווי הוגן</t>
  </si>
  <si>
    <t>בתאריך 1.1.2012 רכשה חברה נדל״ן להשקעה בעלות של 800,000 ש״ח. החברה מודדת את פריטי הנדל״ן להשקעה</t>
  </si>
  <si>
    <t xml:space="preserve">שבבעלותה לפי מודל השווי ההוגן. </t>
  </si>
  <si>
    <t xml:space="preserve">הרווח לפני מס בחברה לפי כללי החשבונאות הוא קבוע בסכום של 1,000,000 ש״ח לשנה. </t>
  </si>
  <si>
    <t>להלן נתונים בדבר. השווי ההוגן של הנדל״ן לתום כל שנה:</t>
  </si>
  <si>
    <t>תאריך</t>
  </si>
  <si>
    <t>שווי הוגן</t>
  </si>
  <si>
    <t xml:space="preserve">בשנת 2015, נמכר הפריט תמורת 1,080,000 ש״ח. שיעור המס קבוע: 25%. </t>
  </si>
  <si>
    <t>נדרש: טפלו באירוע בהיבט מסים על ההכנסה:</t>
  </si>
  <si>
    <t>וסוגו (חייב במס, ניתן לניכוי) וכן את גובה הנכס / ההתחייבות למסים נדחים.</t>
  </si>
  <si>
    <t>א. הציגו בטבלה את ערך הספרים לכל אחד מהתאריכים, את הערך מנקודת ראות רשות המסים, את ההפרש הזמני</t>
  </si>
  <si>
    <t>ב. ערכו את דוחות ההתאמה לצורך מס וחשבו את הוצאות המסים השוטפים, הוצאות המסים הנדחים וסך הוצאות</t>
  </si>
  <si>
    <t xml:space="preserve">המס. </t>
  </si>
  <si>
    <t xml:space="preserve">ג. הציגו את הרווח / ההפסד הנקי (רווח חשבונאי לפני מס בניכוי הוצאות מס). </t>
  </si>
  <si>
    <t>בסיס מס</t>
  </si>
  <si>
    <t>שיעור מס</t>
  </si>
  <si>
    <t xml:space="preserve">רשות המסים מחייבת רווחים מעליית ערך נדל״ן במס (ומתחשבת בהפסדים מי״ע) רק במועד מימוש (מכירת) הנדל״ן. </t>
  </si>
  <si>
    <t>ה״ז = הפרש זמני</t>
  </si>
  <si>
    <t>נכס מ״נ = נכס מסים נדחים</t>
  </si>
  <si>
    <t>הת׳ למ״נ = התחייבות למסים נדחים</t>
  </si>
  <si>
    <t xml:space="preserve">א׳ ש״ח </t>
  </si>
  <si>
    <t xml:space="preserve">ה״ז חייב במס (ניתן לניכוי) </t>
  </si>
  <si>
    <t>נכס מ״נ (הת׳ למ״נ)</t>
  </si>
  <si>
    <t>הסברים נוספים:</t>
  </si>
  <si>
    <t xml:space="preserve">ערך הספרים = עלות הרכישה, ולאחר מכן - שווי הוגן (כי זהו בסיס המדידה של הנכס לצרכים חשבונאיים). </t>
  </si>
  <si>
    <t xml:space="preserve">בסיס המס = עלות הרכישה (לאור נתון מפורש לפיו רשות המסים לא ממסה עליות ערך / ירידות ערך). </t>
  </si>
  <si>
    <t>ה״ז חייב במס (ניתן לניכוי) = ההפרש בין ערך הספרים לבסיס המס, אם הוא חיובי, סימן שהכירו לצורך מס בהוצאה נוספת,</t>
  </si>
  <si>
    <t xml:space="preserve">זו הטבה שתתהפך בעתיד ולכן ההפרש חייב במס. אם הוא שלילי, סימן שלא הכירו לצורך מס בהוצאה / הפסד, </t>
  </si>
  <si>
    <t xml:space="preserve">זו פגיעה שתתהפך בעתיד ולכן ההפרש ניתן לניכוי. </t>
  </si>
  <si>
    <t>שיעור המס = שיעור המס שצפוי לחול במועד שבו יחול היפוך בהפרש הזמני. כאן: שיעור המס קבוע. אך זו נקודה למחשבה.</t>
  </si>
  <si>
    <t>נכס מ״נ (הת׳ למ״נ) = חושבה לפי ההפרש הזמני (הה״ז) כפול ״מינוס שיעור המס״ - ומדוע מינוס? כי השפעת המס תמיד</t>
  </si>
  <si>
    <t xml:space="preserve">הפוכה מהאירוע שיצר אותו. </t>
  </si>
  <si>
    <t>התאמות בגין:</t>
  </si>
  <si>
    <t>הפסד מי״ע נדל״ן להשקעה</t>
  </si>
  <si>
    <t>רווח מע״ע נדל״ן להשקעה</t>
  </si>
  <si>
    <t>הפסד מי״ע נדל״ן להשקעה: כאשר נוצר הפסד כזה, רשות המסים לא מכירה בו. ולכן, הרווח החשבונאי נמוך יותר</t>
  </si>
  <si>
    <t xml:space="preserve">מההכנסה החייבת לצורך מס, הואיל ורווח זה מגלם הוצאה שאיננה מותרת. כדי לנטרל הוצאה זו, יש להוסיף אותה </t>
  </si>
  <si>
    <t xml:space="preserve">במסגרת ההתאמות של הרווח החשבונאי להכנסה החייבת. </t>
  </si>
  <si>
    <t>רווח מע״ע נדל״ן להשקעה: רווח זה איננו מוכר מנקודת ראות רשות המסים, לכן יש לנטרלו, נטרול רווח הוא בסימן שלילי.</t>
  </si>
  <si>
    <t>דיון בשנת 2015 - שנת המכירה:</t>
  </si>
  <si>
    <t>ערך הספרים ערב המכירה:</t>
  </si>
  <si>
    <t>תמורת המכירה:</t>
  </si>
  <si>
    <t>רווח הון:</t>
  </si>
  <si>
    <t>חשבונאות</t>
  </si>
  <si>
    <t>מס הכנסה (שוהם)</t>
  </si>
  <si>
    <t>תמורת מכירה</t>
  </si>
  <si>
    <t>רווח ההון</t>
  </si>
  <si>
    <t>פערים ברווח הון</t>
  </si>
  <si>
    <t>פער: 250. רשות המסים דורשת הכרה בהכנסה נוספת</t>
  </si>
  <si>
    <t>של 250, לכן תתווסף במסגרת ההתאמות.</t>
  </si>
  <si>
    <t>שלא במקרה, אותם 250 הם גם השינוי בהפרש הזמני (ה״ז) שהופיע בטבלה המרכזת.</t>
  </si>
  <si>
    <t>הכנסה חייבת</t>
  </si>
  <si>
    <t>מסים שוטפים</t>
  </si>
  <si>
    <t>שיעור המס ״השוטף״</t>
  </si>
  <si>
    <t xml:space="preserve">הוסף / נכה: תנועה במ״נ </t>
  </si>
  <si>
    <t>הוצ׳ מס ברווח והפסד</t>
  </si>
  <si>
    <t xml:space="preserve">הוסף / נכה תנועה במס נדחה (מ״נ): </t>
  </si>
  <si>
    <t xml:space="preserve">עלייה בנכס מס נדחה = קיטון בהוצאות מס. </t>
  </si>
  <si>
    <t>ירידה בנכס מס נדחה = עלייה בהוצאות מס.</t>
  </si>
  <si>
    <t>עלייה בהתחייבות למס נדחה = עלייה בהוצאות מס</t>
  </si>
  <si>
    <t>ירידה בהתחייבות למס נדחה = קיטון בהוצאות מס</t>
  </si>
  <si>
    <t>ג. רווח / הפסד נקי</t>
  </si>
  <si>
    <t>סיכום ביניים לנייר העבודה המרכזי - לייחוס מסים לפי IAS 12</t>
  </si>
  <si>
    <t xml:space="preserve"> לפי בסיס המדידה החשבונאי של הנכס הנדון</t>
  </si>
  <si>
    <t>לפי נתון מפורש בשאלה בדבר אופן התייחסות רשות המסים למדידת הנכס</t>
  </si>
  <si>
    <t>הפרש חיובי = חייב במס , הפרש שלילי = ניתן לניכוי</t>
  </si>
  <si>
    <t>שיעור המס העתידי שיחול במועד ההיפוך</t>
  </si>
  <si>
    <t>ייקבעו לפי מכפלת ההפרש הזמני (ה״ז) בשיעור המס בסימן שלילי</t>
  </si>
  <si>
    <t>שיעורי בית בסיסיים עם פתרון מלא</t>
  </si>
  <si>
    <t>שאלה 1</t>
  </si>
  <si>
    <t>בתאריך 31/12/2022 רכשה חברת ״נקניקי השומרון״ בע״מ נדל״ן להשקעה. עלות הרכישה הסתכמה ב-1,000,000 ש״ח.</t>
  </si>
  <si>
    <t xml:space="preserve">החברה מיישמת את הנחיות IAS 40 לגבי הנדל״ן להשקעה שבבעלותה, ומודדת אותו על בסיס שוויו ההוגן. </t>
  </si>
  <si>
    <t xml:space="preserve">רשות המסים מתייחסת לרווחים / הפסדים מנדל״ן להשקעה במועד מימוש הנכס / גריעתו בלבד. </t>
  </si>
  <si>
    <t>להלן נתונים בדבר השווי ההוגן של פריט הנדל״ן לתאריכים שונים:</t>
  </si>
  <si>
    <t xml:space="preserve">בתאריך 1.5.2027 נמכר פריט הנדל״ן בתמורה ל-1,500,000 ש״ח. </t>
  </si>
  <si>
    <t>פתרון שאלה 1</t>
  </si>
  <si>
    <t>א׳ ש״ח</t>
  </si>
  <si>
    <t>נדרש: הציגו תנועות ויתרות של נכסי המסים הנדחים, בהנחה ששיעור המס העתידי הוא 23%.</t>
  </si>
  <si>
    <t>השפעת הוצאות מסים נדחים:</t>
  </si>
  <si>
    <t>שנה</t>
  </si>
  <si>
    <t>השפעה</t>
  </si>
  <si>
    <t xml:space="preserve">הגדלת הוצאות המס (ח׳ הוצאות מס נדחה) </t>
  </si>
  <si>
    <t>הקטנת הוצאות המס (ז׳ הוצאות מס נדחה)</t>
  </si>
  <si>
    <t>סה״כ</t>
  </si>
  <si>
    <t>סכום</t>
  </si>
  <si>
    <t>אינני מתפלא כלל שסיכום ההשפעות אפס, שהרי מדובר בהפרשי עיתוי בלבד.</t>
  </si>
  <si>
    <t>שאלה 2</t>
  </si>
  <si>
    <t>בתאריך 31/12/2023 רכשה חברת ״נקניקי השומרון״ בע״מ נדל״ן להשקעה. עלות הרכישה הסתכמה ב-850,000 ש״ח.</t>
  </si>
  <si>
    <t xml:space="preserve">בתאריך 1.3.2028 נמכר פריט הנדל״ן בתמורה ל-980,000 ש״ח. </t>
  </si>
  <si>
    <t xml:space="preserve">הקטנת הוצאות המס (ח׳ הוצאות מס נדחה) </t>
  </si>
  <si>
    <t>הגדלת הוצאות המס (ז׳ הוצאות מס נדחה)</t>
  </si>
  <si>
    <t>פתרון שאלה 2</t>
  </si>
  <si>
    <t>רקע:</t>
  </si>
  <si>
    <t>במפגש הקודם הצגנו עקרונות ועיקרים ב - IAS 12. דנו בצורך להקביל את הערכים החשבונאיים למיסויים, והצגנו</t>
  </si>
  <si>
    <t>את מהותו של הפרש זמני וייחוס מס בגינו.</t>
  </si>
  <si>
    <t>בתאריך 30.9.2007 רכשה חברה מבנה משרדים בעלות של 1,000,000 ש״ח.</t>
  </si>
  <si>
    <t>מחצית מעלות המבנה מיוחסת לקרקע.</t>
  </si>
  <si>
    <t xml:space="preserve">על בסיס הערכות החברה לגבי דפוס צריכת ההטבות הכלכליות הגלומות בנכס, המבנה מופחת על פני 20 שנים בשיטת </t>
  </si>
  <si>
    <t>הקו הישר, אך לצרכי מס הוא מופחת בשיטת הקו הישר על פני 25 שנים.</t>
  </si>
  <si>
    <t>אירוע 1</t>
  </si>
  <si>
    <t>אירוע 2</t>
  </si>
  <si>
    <t xml:space="preserve">בתאריך 1.1.2009 רכשה חברה מכונת ייצור בעלות של 800,000 ש״ח. המכונה מופחתת על פני 8 שנים בשיטת הקו </t>
  </si>
  <si>
    <t>הישר, ללא ערך שייר, אך לצרכי מס הכנסה יש להפחית את המוכנה על פני 4 שנים.</t>
  </si>
  <si>
    <t>אירוע 3</t>
  </si>
  <si>
    <t>בתאריך 30.6.2008 רכשה חברה מבנה משרדים לצורך השכרתו, בתמורה ל-1,400,000 ש״ח.</t>
  </si>
  <si>
    <t xml:space="preserve">החברה מודדת פריטי נדל״ן להשקעה שבבעלותה לפי שוויים ההוגן. </t>
  </si>
  <si>
    <t>נכון לתאריכים 31.12.012 ו-31.12.2013 בהתאמה, שוויו ההוגן של מבנה המשרדים הוא 1,900,000 ו-2,100,000 ש״ח</t>
  </si>
  <si>
    <t>בהתאמה. לצורך מס, מבנה המשרדים מופחת על פני 25 שנים. יש להניח כי ההיפוך צפוי במועד מימוש הנכס.</t>
  </si>
  <si>
    <t>אירוע 4</t>
  </si>
  <si>
    <t>בתאריך 30.6.2012 השכירה החברה את מבנה המשרדים ל-3 שנים בתמורה כוללת של 450,000 ש״ח. רשות המסים</t>
  </si>
  <si>
    <t>ממסה הכנסות שכירות על בסיס מזומן.</t>
  </si>
  <si>
    <t>אירוע 5</t>
  </si>
  <si>
    <t>המוצרים אשר מוכרת החברה כפופים לאחריות לשנה. להערכת החברה, תוחלת עלויות התיקון למוצר היא 100 ש״ח.</t>
  </si>
  <si>
    <t>לימים 31 בדצמבר 2012 ו-2013, קיימים 7,000 מוצרים ו-12,000 מוצרים שהם במסגרת האחריות, בהתאמה, וצפויות</t>
  </si>
  <si>
    <t>להתוות עלויות תיקון בגינם.</t>
  </si>
  <si>
    <t>במהלך שנת 2013 שילמה החברה 500,000 ש״ח עבור תיקונים. לצורך מס, הוצאות בגין אחריות מוכרות רק בעת ביצוע</t>
  </si>
  <si>
    <t>התיקונים בפועל, קרי על בסיס מזומן.</t>
  </si>
  <si>
    <t>אירוע 6</t>
  </si>
  <si>
    <t>לימים 31 בדצמבר 2012 ו-31 בדצמבר 2013 יתרת ההפרשה לחובות מסופקים החברה היא בסך 40,000 ש״ח ו-30,000 ש״ח</t>
  </si>
  <si>
    <t>בהתאמה. רשות המסים מכירה בהוצאות הפרשה לחובות מסופקים רק בעת הפיכת החובות לאבודים. במהלך שנת 2013,</t>
  </si>
  <si>
    <t>חוב בסך 4,000 ש״ח הפך לאבוד.</t>
  </si>
  <si>
    <t>אירוע 7</t>
  </si>
  <si>
    <t>החברה הכירה בהוצאות בגין קנסות הואיל ויואבי המנכ״ל תמיד חונה באדום לבן השובב הזה. סכום הקנסות הסתכם</t>
  </si>
  <si>
    <t>ב-40,000 ש״ח. טרם שולם בעבור ההוצאה ולכן נוצרה התחייבות בספרים בגינה. הוצאות בגין קנסות אינן הוצאות</t>
  </si>
  <si>
    <t>המותרות בניכוי מההכנסה החייבת.</t>
  </si>
  <si>
    <t>אירוע 8</t>
  </si>
  <si>
    <t>במהלך שנת 2013 תרמה החברה למלכ״ר 140,000 ש״ח. רשות המסים איננה מתירה את התרומה בניכוי מההכנסה החייבת,</t>
  </si>
  <si>
    <t>אך מעניקה זיכוי מס בשיעור 40% מסך התרומה.</t>
  </si>
  <si>
    <t>אירוע 9</t>
  </si>
  <si>
    <t>במהלך שנת 2019 בחברה נוצר רווח הון בסך 300,000 ש״ח ממכירת ציוד ישן. הפחתת הציוד הספציפי שנמכר זהה - בהיבט</t>
  </si>
  <si>
    <t>הפרמטרים להפחתה לצורך מס ובספרים.</t>
  </si>
  <si>
    <t>אירוע / נתון 10</t>
  </si>
  <si>
    <t>הרווח החשבונאי לפני מס בדוחות הכספיים לשנת 2013 הסתכם ב-4,000,000 ש״ח. שיעור מס החברות החל על החברה</t>
  </si>
  <si>
    <t>הנו 40%, שיעור מס רווחי ההון הנו 20%.</t>
  </si>
  <si>
    <t xml:space="preserve">ביום 30 במרס 2013 הופחת שיעור מס החברות ל-35%, וכמו כן ב-2014 ו-2015 תחול ירידה בשיעור 2% לשנה בשיעור </t>
  </si>
  <si>
    <t>מס החברות, אשר יישאר קבוע בכל שנה לאחר מכן.</t>
  </si>
  <si>
    <t>נדרש: ערכו את דוח ההתאמה למס וחשבו את הוצאות המסים השוטפים והנדחים, ואת יתרות המסים הנדחים</t>
  </si>
  <si>
    <t xml:space="preserve">ליום 31/12/2013. </t>
  </si>
  <si>
    <t>שאלה 1 - שאלה כבדה (על סף רמת מבחן), דיון הדרגתי שיאכל את רוב השיעור</t>
  </si>
  <si>
    <t>היום נמשיך את הדיון עם תרגיל משולב ונציג את ההשפעות הנובעות מכך בגין מדידת פריטי נכסים שונים ומגוונים.</t>
  </si>
  <si>
    <t>בשאלות מורכבות, הכוללות אירועים רבים ומדידות של נכסים / התחייבויות מגוונים שיש להם השפעת מס,</t>
  </si>
  <si>
    <t>טכניקת העבודה שלי תכלול התייחסות לכל ״אירוע״ (לכל פריט נכסי / התחייבותי) בנפרד, דרך גיליון העבודה</t>
  </si>
  <si>
    <t>שהצגנו במפגש הקודם לגבי נדל״ן להשקעה (בשינויים מתחייבים), ורק לאחר סיום ההתייחסויות לכל פריט</t>
  </si>
  <si>
    <t xml:space="preserve">בנפרד, נרכז את הנתונים לטובת דוח ההתאמה ותנועות במס נדחה. </t>
  </si>
  <si>
    <t>כמו כן, בהינתן שהשאלה דרשה להתמקד בדיווחים ליום 31/12/2013, גיליון העבודה צריך לשקף את השינויים</t>
  </si>
  <si>
    <t>במהלך שנה זו (יתרת פתיחה = 31/12/2012, יתרת סגירה = 31/12/2013).</t>
  </si>
  <si>
    <t>עלות</t>
  </si>
  <si>
    <t>פחת נצבר</t>
  </si>
  <si>
    <t xml:space="preserve">[(1,000,000 -  500,000)/20] * (5 + 3/12) =  </t>
  </si>
  <si>
    <t>מדידת ערך הספרים של הפריט (רכוש קבוע) - שימו לב, לצרכים חשבונאיים, תקופת הפחתה - 20 שנה:</t>
  </si>
  <si>
    <t xml:space="preserve">[(1,000,000 -  500,000)/20] * (6 + 3/12) =  </t>
  </si>
  <si>
    <t>מדידת בסיס המס של הפריט (רכוש קבוע) - שימו לב, לצרכי מס, תקופת ההפחתה 25 שנה:</t>
  </si>
  <si>
    <t xml:space="preserve">[(1,000,000 -  500,000)/25] * (5 + 3/12) =  </t>
  </si>
  <si>
    <t xml:space="preserve">[(1,000,000 -  500,000)/25] * (6 + 3/12) =  </t>
  </si>
  <si>
    <t xml:space="preserve">הפרש זמני (ניתן לניכוי) </t>
  </si>
  <si>
    <t xml:space="preserve">לגבי שיעור המס: בשאלה נתון ששיעור המס השוטף לתשלום ב-2013 הוא 35%. </t>
  </si>
  <si>
    <t>יחד עם זאת, את ההטבה בגין המס הנדחה נקבל רק ״בעתיד הרחוק״, בחלוף 20 שנה ממועד רכישת הנכס.</t>
  </si>
  <si>
    <t xml:space="preserve">נכסי / התחייבויות מסים יש ליצור לפי שיעור המס שצפוי להתקיים במועד ה״היפוך״: יש להתייחס לאותם </t>
  </si>
  <si>
    <t>שיעורי מס שבגינם קיימת חקיקה מחייבת / שהושלמה למעשה לתאריך הדיווח.</t>
  </si>
  <si>
    <t>שיעור המס (*)</t>
  </si>
  <si>
    <t>(*)</t>
  </si>
  <si>
    <t>שיעור המס ליצירת נכס מס נדחה ל-31/12/2012:</t>
  </si>
  <si>
    <t xml:space="preserve">על פי נתוני השאלה, נכון ל-31/12/2012, שיעור המס היה קבוע בשיעור 40%, </t>
  </si>
  <si>
    <t>וטרם נחקקה חקיקה כלשהי שהושלמה למעשה לגבי מתווה לשינוי שיעור המס בעתיד.</t>
  </si>
  <si>
    <t>בהינתן שזה הצפי נכון לתום 2012 לשיעור המס שיחול במועד ההיפוך, אליו נתייחס</t>
  </si>
  <si>
    <t xml:space="preserve">בגין יצירת נכס המסים הנדחים ליום 31/12/2012. </t>
  </si>
  <si>
    <t>במלים אחרות: חקיקה שהחלה לאחר מועד הדיווח (לאחר 31/12/2012) בדבר</t>
  </si>
  <si>
    <t>שינוי בשיעור המס, היא אירוע ש״איננו מחייב התאמה״, והמסים הנדחים יחושבו</t>
  </si>
  <si>
    <t xml:space="preserve">לפי שיעור המס טרם השינוי. </t>
  </si>
  <si>
    <t>שיעור המס ליצירת נכס מס נדחה ל-31/12/2013:</t>
  </si>
  <si>
    <t>ב-30 במרס 2013 נחקקה חקיקת מסים חדשה שקובעת ששיעור המס שיחול ב-2013 יהא 35%,</t>
  </si>
  <si>
    <t>ששיעור המס ב-2014 יהיה נמוך יותר ב-2%, כלומר 33%, וששיעור המס ב-2015 יהיה נמוך</t>
  </si>
  <si>
    <t>יותר ב-2% נוספים, כלומר 31%, והוא יישאר קבוע בכל שנה עוקבת.</t>
  </si>
  <si>
    <t>לכן, שיעור המס במועד ההיפוך צפוי להיות 31%.</t>
  </si>
  <si>
    <t>נכס מס נדחה - נכס מ״נ</t>
  </si>
  <si>
    <t>ליר: שי, עליך להדגיש להם: מס שוטף לתשלום = לפי שיעור מס עדכני של השנה.</t>
  </si>
  <si>
    <t xml:space="preserve">לעומת זאת: חישוב מס נדחה = לפי שיעור המס שצפוי לחול בעתיד, במועד ההיפוך. </t>
  </si>
  <si>
    <t>על פי החקיקה העדכנית שבתוקף למועד הדיווח עצמו.</t>
  </si>
  <si>
    <t>התאמה חיובית בדוח ההתאמה - (עלייה בהכנסה החייבת) - הוצאות פחת מבנה שאינן מותרות:</t>
  </si>
  <si>
    <t>לפי ההפרש בין ההפרשים הזמניים:</t>
  </si>
  <si>
    <r>
      <rPr>
        <sz val="12"/>
        <color theme="0"/>
        <rFont val="David"/>
      </rPr>
      <t>,</t>
    </r>
    <r>
      <rPr>
        <sz val="12"/>
        <color theme="1"/>
        <rFont val="David"/>
      </rPr>
      <t xml:space="preserve">-26,250 - (-31,250) = </t>
    </r>
  </si>
  <si>
    <t>למעשה , ערך מספרי זה ניתן גם לחישוב ישיר:</t>
  </si>
  <si>
    <t>הוצאות פחת לשנה - ספרים</t>
  </si>
  <si>
    <t>(1,000,000 - 500,000) / 20 =</t>
  </si>
  <si>
    <t>הוצאות פחת לשנה - רשות המסים</t>
  </si>
  <si>
    <t>(1,000,000 - 500,000) / 25 =</t>
  </si>
  <si>
    <t>סך הכל הוצאות פחת שאינן מותרות למס</t>
  </si>
  <si>
    <t>הוצאה שאיננה מוכרת לצורך מס, מתווספת להכנסה החייבת.</t>
  </si>
  <si>
    <t>דוח התאמה</t>
  </si>
  <si>
    <t>הוצ׳ מס נדחה</t>
  </si>
  <si>
    <t>כאשר במהלך השנה חל קיטון בנכס מס נדחה, יש להכיר בהוצאות בגובה ההפרש:</t>
  </si>
  <si>
    <t xml:space="preserve">10,500 - 9,688 = </t>
  </si>
  <si>
    <t>לטובת התוצרים הסופיים בדיווחי 2013 - דוח התאמה והוצאות מס נדחה:</t>
  </si>
  <si>
    <t>הישר, ללא ערך שייר, אך לצרכי מס הכנסה יש להפחית את המכונה על פני 4 שנים.</t>
  </si>
  <si>
    <t>התחייבות למסים נדחים - הת׳ למ״נ</t>
  </si>
  <si>
    <t>הוצ׳ פחת</t>
  </si>
  <si>
    <t>ספרים</t>
  </si>
  <si>
    <t>מס</t>
  </si>
  <si>
    <t>כי 4 שנות הפחת כבר תמו</t>
  </si>
  <si>
    <t>הוצאה שלא מותרת למס</t>
  </si>
  <si>
    <t>33% or 31%</t>
  </si>
  <si>
    <t>ראו למטה</t>
  </si>
  <si>
    <t>מה קרה פה?</t>
  </si>
  <si>
    <t xml:space="preserve">כאשר אני מחשב הפרש זמני, ומגלה שהוא הולך ״להתהפך״ בשנים שבהן שיעור המס שונה, </t>
  </si>
  <si>
    <t>עליי לפצל את היפוכו: ובגין כל שנת היפוך, לייחס מס נדחה לפי שיעור המס הרלוונטי העתידי</t>
  </si>
  <si>
    <t>באותה השנה.</t>
  </si>
  <si>
    <t>היפוך</t>
  </si>
  <si>
    <t>ב-2014</t>
  </si>
  <si>
    <t>מס: 33%</t>
  </si>
  <si>
    <t>היפוך ב-2015 וב-2016</t>
  </si>
  <si>
    <t>שנים שבהן שיעור המס</t>
  </si>
  <si>
    <t>אחיד: 31%</t>
  </si>
  <si>
    <t>הת׳ למ״נ 31/12/2013:</t>
  </si>
  <si>
    <t xml:space="preserve">100,000 * 33% + 200,000 * 31% = </t>
  </si>
  <si>
    <t>כאשר במהלך השנה חל קיטון בהתחייבות למסים נדחים, יש להכיר בהכנסות מס (או קיטון בהוצאות מס) בסך ההפרש</t>
  </si>
  <si>
    <r>
      <rPr>
        <sz val="12"/>
        <color theme="7" tint="0.59999389629810485"/>
        <rFont val="David"/>
      </rPr>
      <t>,</t>
    </r>
    <r>
      <rPr>
        <sz val="12"/>
        <color theme="1"/>
        <rFont val="David"/>
      </rPr>
      <t xml:space="preserve">-160,000 - (-95,000) = </t>
    </r>
  </si>
  <si>
    <t xml:space="preserve">400,000 - 300,000 = </t>
  </si>
  <si>
    <t>שיעור המס:</t>
  </si>
  <si>
    <t>כנתון, ההפרש צפוי להתהפך רק במועד מימוש הנכס - כאשר מנקודת ראות רשות המסים יווצר</t>
  </si>
  <si>
    <t>רווח הון גבוה במכירה, לאור בסיס המס הנמוך של הנכס (לפי עלות מופחתת).</t>
  </si>
  <si>
    <t xml:space="preserve">על פי נתוני השאלה, שיעור מס רווח ההון שהוא זה שצפוי לחול בהיפוך הוא 20%. </t>
  </si>
  <si>
    <t>שיעור מס רווח ההון, בשונה משיעור מס החברות, קבוע - וזאת גם נכון ליום 31/12/2013 בראייה</t>
  </si>
  <si>
    <t>לעתיד, לכן נמשיך לייחס מסים לפי שיעור זה.</t>
  </si>
  <si>
    <t>התחייבות למ״נ</t>
  </si>
  <si>
    <t>בדוח התאמה:</t>
  </si>
  <si>
    <t>הפחת: רווח מעליית ערך נדל״ן להשקעה</t>
  </si>
  <si>
    <t>הפחת: הוצאות פחת נדל״ן להשקעה לצורך מס</t>
  </si>
  <si>
    <t>מסים נדחים</t>
  </si>
  <si>
    <t>הוצאות מס נדחה</t>
  </si>
  <si>
    <r>
      <rPr>
        <sz val="12"/>
        <color theme="0"/>
        <rFont val="David"/>
      </rPr>
      <t>,</t>
    </r>
    <r>
      <rPr>
        <sz val="12"/>
        <color theme="1"/>
        <rFont val="David"/>
      </rPr>
      <t xml:space="preserve">-125,200 - (-170,800) = </t>
    </r>
  </si>
  <si>
    <t xml:space="preserve">חשבונאית, כאשר חברה משכירה נכס, והתמורה מתקבלת מראש, נוצרת התחייבות שנקראת ״הכנסות מראש״. </t>
  </si>
  <si>
    <t xml:space="preserve">שימו לב: החברה משכירה (לא שוכרת). כלומר מבחינתה היא הצד המניב את ההכנסות. </t>
  </si>
  <si>
    <t>כשאומרים: ״רשות המסים ממסה על בסיס מזומן״ = מבחינתה, אין דבר כזה ״חשבונות חתך״ - אין דבר כזה</t>
  </si>
  <si>
    <t xml:space="preserve">הכנסות מראש, הוצאות מראש, הכנסות לקבל, הוצאות לשלם, ולכן יתרת בסיס המס של כלל הסעיפים הללו 0. </t>
  </si>
  <si>
    <t>הפרש זמני ניתן לניכוי (*)</t>
  </si>
  <si>
    <t>למעשה: החברה רשמה הכנסות מראש;</t>
  </si>
  <si>
    <t>המשמעות היא שבעתיד, היא תכיר בהכנסה כנגד הקטנת ההתחייבות.</t>
  </si>
  <si>
    <t>ח׳ הכנסות מראש xxxx</t>
  </si>
  <si>
    <t>ז׳ הכנסות משכירות xxx</t>
  </si>
  <si>
    <t xml:space="preserve">כשזה יירשם - רשות המסים תאמר לנו: ״לא לא, אין צורך לדווח על ההכנסה הזו; מיסיתי </t>
  </si>
  <si>
    <t xml:space="preserve">אותך באופן מלא מיד כשקיבלת את המזומן ב-2012״. </t>
  </si>
  <si>
    <t>לכן, נוכל בעתיד לנכות את ההכנסה המשתקפת במתן שירותי השכירות בשנים העוקבות</t>
  </si>
  <si>
    <t xml:space="preserve">מההכנסה החייבת, וזה הפרש זמני ניתן לניכוי. </t>
  </si>
  <si>
    <r>
      <t xml:space="preserve">כשקיים הפרש חיובי בין ערך הספרים של </t>
    </r>
    <r>
      <rPr>
        <b/>
        <u/>
        <sz val="12"/>
        <color theme="1"/>
        <rFont val="David"/>
      </rPr>
      <t>התחייבות</t>
    </r>
    <r>
      <rPr>
        <sz val="12"/>
        <color theme="1"/>
        <rFont val="David"/>
      </rPr>
      <t xml:space="preserve"> לבין </t>
    </r>
    <r>
      <rPr>
        <b/>
        <u/>
        <sz val="12"/>
        <color theme="1"/>
        <rFont val="David"/>
      </rPr>
      <t>בסיס המס</t>
    </r>
    <r>
      <rPr>
        <sz val="12"/>
        <color theme="1"/>
        <rFont val="David"/>
      </rPr>
      <t xml:space="preserve"> של </t>
    </r>
    <r>
      <rPr>
        <b/>
        <u/>
        <sz val="12"/>
        <color theme="1"/>
        <rFont val="David"/>
      </rPr>
      <t>ההתחייבות</t>
    </r>
    <r>
      <rPr>
        <sz val="12"/>
        <color theme="1"/>
        <rFont val="David"/>
      </rPr>
      <t xml:space="preserve">, זהו </t>
    </r>
    <r>
      <rPr>
        <b/>
        <u/>
        <sz val="12"/>
        <color theme="1"/>
        <rFont val="David"/>
      </rPr>
      <t>הפרש זמני ניתן לניכוי</t>
    </r>
    <r>
      <rPr>
        <sz val="12"/>
        <color theme="1"/>
        <rFont val="David"/>
      </rPr>
      <t xml:space="preserve">. </t>
    </r>
  </si>
  <si>
    <t>שיעור מס חברות</t>
  </si>
  <si>
    <t>נכס מס נדחה</t>
  </si>
  <si>
    <t>ראו מטה</t>
  </si>
  <si>
    <t>(**)</t>
  </si>
  <si>
    <t>שיעור המס לייחוס ל-31/12/2023:</t>
  </si>
  <si>
    <t>הכנסות</t>
  </si>
  <si>
    <t>מראש</t>
  </si>
  <si>
    <t>225,000 / 1.5 = 150,000</t>
  </si>
  <si>
    <t>סיום חוזה</t>
  </si>
  <si>
    <t>שיעור מס 2014</t>
  </si>
  <si>
    <t>ייחוס המסים יבוצע, אם כך, כאשר על 150,000 ש״ח של הכנסה ההיפוך יהיה לפי:</t>
  </si>
  <si>
    <t>על 75,000 ש״ח של הכנסה, ההיפוך יהיה לפי:</t>
  </si>
  <si>
    <t>שיעור מס 2015</t>
  </si>
  <si>
    <t>זכרו: רשות המסים כבר מיסתה את החברה באופן מלא ב-2012, לכן, כל הכנסה חשבונאית שהחברה</t>
  </si>
  <si>
    <t>רושמת היא בגדר היפוך ויש לייחס מס בהתאם.</t>
  </si>
  <si>
    <t>נכס מס נדחה בחברה ליום 31/12/0213:</t>
  </si>
  <si>
    <t xml:space="preserve">150,000 * 33% + 75,000 * 31% = </t>
  </si>
  <si>
    <t>שימו לב, זוהי הפעם הראשונה שבה הצגנו הפרש זמני בגין התחייבויות. כשעוסקים בהפרש זמני בגין נכסים,</t>
  </si>
  <si>
    <t>כופלים את ההפרש ב״מינוס שיעור המס״. כשמדובר בהתחייבויות, כופלים את ההפרש בשיעור המס.</t>
  </si>
  <si>
    <t>לדוח התאמה</t>
  </si>
  <si>
    <t>נכס מס נדחה קטן - הוצאות מס נדחה</t>
  </si>
  <si>
    <t>הקטנת ההכנסה החייבת - הפחת הכנסות שכירות שמוסו מראש:</t>
  </si>
  <si>
    <t>סעיף חשבונאי / ספרים: הפרשה לאחריות - התחייבות</t>
  </si>
  <si>
    <t>הפרש זמני ניתן לניכוי</t>
  </si>
  <si>
    <t>שיעור מס: האחריות היא לשנה; ולכן ההפרשים הנוצרים בגינה דינם להתהפך בשנה העוקבת.</t>
  </si>
  <si>
    <t>נכון לתום 2013, ההפרשה לאחריות צפויה להתהפך / להתממש ב-2014.</t>
  </si>
  <si>
    <t>על פי נתוני השאלה, שיעור המס שצפוי לחול (על בסיס החקיקה הקיימת) ב-2014 הוא 33%.</t>
  </si>
  <si>
    <t>מס נדחה</t>
  </si>
  <si>
    <t>לפי התנועה בהפרש הזמני:</t>
  </si>
  <si>
    <t xml:space="preserve">הוסף: הוצאות בגין הפרשה לאחריות </t>
  </si>
  <si>
    <t>הקטנת הוצאות מסים נדחים / רישום הכנסות מסים נדחים:</t>
  </si>
  <si>
    <t>הפרשה לחובות מסופקים</t>
  </si>
  <si>
    <t>Contra Asset</t>
  </si>
  <si>
    <t>מקטין נכס</t>
  </si>
  <si>
    <t>טיפול בדומה</t>
  </si>
  <si>
    <t>להתחייבות</t>
  </si>
  <si>
    <t>הנחת ברירת מחדל: במידה וקיים חוב מסופק (הלח״מ), מאמצי הגבייה יופעלו בגינו והחוב האבוד סביר שיתברר בגינו -</t>
  </si>
  <si>
    <t xml:space="preserve">בשנה העוקבת. </t>
  </si>
  <si>
    <t>ומה דינו של החוב האבוד הנתון בשאלה? כלל הערכים כבר מגולמים בהפרשים הזמניים, אין צורך לייצר ניתוח נוסף</t>
  </si>
  <si>
    <t xml:space="preserve">בהקשר זה. </t>
  </si>
  <si>
    <t>הוצאות מס נדחה (בגובה הקיטון בנכס המס הנדחה)</t>
  </si>
  <si>
    <t>הסבר נוסף / פרשנות לגבי דוח ההתאמה:</t>
  </si>
  <si>
    <t>נייצר לעצמנו חישוב עזר בדבר ניתוח התנועה בהפרשה לחובות מסופקים:</t>
  </si>
  <si>
    <t>יתרת פתיחה הלח״מ ל-31.12.2012</t>
  </si>
  <si>
    <t>חוב אבוד (מקטין הלח״מ)</t>
  </si>
  <si>
    <t>יתרת סגירה הלח״מ ל-31.12.2013</t>
  </si>
  <si>
    <t>החברה ״לא רואה את זה״ (כהוצאה)</t>
  </si>
  <si>
    <t>החברה רשמה הכנסות הלח״מ:</t>
  </si>
  <si>
    <t>הכנסות הלח״מ PN</t>
  </si>
  <si>
    <t>רשות המסים ״לא רואה את זה״ = לא מכירה בהכנסה</t>
  </si>
  <si>
    <t>סך ההשפעות השליליות על ההכנסה החייבת:</t>
  </si>
  <si>
    <t>הפחת: הכנסות הלח״מ שאינן חייבות במס וחוב אבוד</t>
  </si>
  <si>
    <t xml:space="preserve">פתרון: אירועים 1-6 פתרנו בהרצאה 2, את היתר נמשיך בהרצאה 3. </t>
  </si>
  <si>
    <t xml:space="preserve">הואיל וביקשתם שאלות ופתרונות באופן מהיר, אני מצרף פתרונות סופיים בלבד. אשמח מאד להרחיב במפגש הבא על כל מה שמסתדר, </t>
  </si>
  <si>
    <t>וכמובן שניתן גם לפנות קודם במייל.</t>
  </si>
  <si>
    <t>שאלה</t>
  </si>
  <si>
    <t>תשובה</t>
  </si>
  <si>
    <t>ג</t>
  </si>
  <si>
    <t>א</t>
  </si>
  <si>
    <t>הערות ורמזים</t>
  </si>
  <si>
    <t>נסו לשחזר את ההפרש הזמני על בסיס יתרות מס נדחה. זכרו כי סך הוצ׳ מס = שוטפים + נדחים</t>
  </si>
  <si>
    <t>ב</t>
  </si>
  <si>
    <t>זכרו, למרות שזה לא אקדמי לומר זאת: ״כשמס הכנסה מיטיב עמי, בעתיד_______״</t>
  </si>
  <si>
    <t>זכרו, למרות שזה לא אקדמי לומר זאת: ״כשמס הכנסה מרע עמי, בעתיד_______״</t>
  </si>
  <si>
    <t>ד</t>
  </si>
  <si>
    <t>מס׳ הרצאה</t>
  </si>
  <si>
    <t>נושא</t>
  </si>
  <si>
    <t>מבוא למסים על ההכנסה ו - IAS 12</t>
  </si>
  <si>
    <t>הנחיות לבית</t>
  </si>
  <si>
    <t>אין</t>
  </si>
  <si>
    <t>המשך תרגול וסוגיות IAS 12</t>
  </si>
  <si>
    <t>תרגילי בית בתיבת טקסט בתחתית מערך השיעור</t>
  </si>
  <si>
    <t>רענון וחיבור לאחור:</t>
  </si>
  <si>
    <t xml:space="preserve">במפגשים קודמים - </t>
  </si>
  <si>
    <t>הצגנו את מושג המסים הנדחים;</t>
  </si>
  <si>
    <t>הגדרנו את הגישה המאזנית ליצירת נכסי והתחייבויות מסים נדחים;</t>
  </si>
  <si>
    <t>חישבנו והגדרנו את התנועה בהפרשים הזמניים (שתנוקז לדוח התאמה שמשפיע על המסים השוטפים)</t>
  </si>
  <si>
    <t xml:space="preserve">וכן את התנועה במסים הנדחים (שתשפיע על הוצאות המס). </t>
  </si>
  <si>
    <t>והיום?</t>
  </si>
  <si>
    <t>א. נשלים את התמונה לעניין סגירה מלאה של שאלת מסה (כל הסעיפים הנוספים מהשאלה הגדולה שלא סיימנו</t>
  </si>
  <si>
    <t xml:space="preserve">בשיעור הקודם, ואשר מופיעה בגיליון Lecture 2). </t>
  </si>
  <si>
    <t>ג. נמשיך לתרגל ולהציג סוגיות במסים על ההכנסה על בסיס שאלות מסה נוספות, שלאט לאט מתכנסות לרמת בחינה.</t>
  </si>
  <si>
    <t xml:space="preserve">ב. נשיב לכל סוגיה שלא הסתדרה בשיעורי הבית של השיעור הקודם (גם כן, בלשונית Lecture 2). </t>
  </si>
  <si>
    <t xml:space="preserve">כאשר מזהים הוצאה שאיננה מוכרת (ולעולם לא תהיה מוכרת) ו/או הכנסה שפטורה ממס (שלעד תהיה פטורה ממס), </t>
  </si>
  <si>
    <t xml:space="preserve">לא ניתן ליצור נכסי / התחייבויות מסים נדחים בגינה, משום שההפרש הזמני בגינה לא מתהפך. </t>
  </si>
  <si>
    <t xml:space="preserve">בדוח ההתאמה בלבד: </t>
  </si>
  <si>
    <t>הוסף</t>
  </si>
  <si>
    <t>הוצאות בגין קנסות</t>
  </si>
  <si>
    <t>כאשר נוצרת הוצאה שאיננה מוכרת, אך מאפשרת זיכוי מס, עלינו לזכור לבצע בשלב ריכוז הנתונים 2 פעולות:</t>
  </si>
  <si>
    <t>א. בדוח ההתאמה:</t>
  </si>
  <si>
    <t>הוצאות בגין תרומות</t>
  </si>
  <si>
    <t>ב. לאחר חישוב ההכנסה החייבת וחבות המס השוטף ״הבסיסית״, נזכור לנכות:</t>
  </si>
  <si>
    <t xml:space="preserve">140,000 * 40% = </t>
  </si>
  <si>
    <t>ננכה זיכוי בגין תרומות</t>
  </si>
  <si>
    <t>אם הפרמטרים להפחתה בספרים ולצורך מס זהים - לא קיים בגין הנכס הפרש זמני (מודדים אותו - אותו דבר,</t>
  </si>
  <si>
    <t xml:space="preserve">בחשבונאות ולצורך מס). </t>
  </si>
  <si>
    <t>במהלך שנת 2013 בחברה נוצר רווח הון בסך 300,000 ש״ח ממכירת ציוד ישן. הפחתת הציוד הספציפי שנמכר זהה - בהיבט</t>
  </si>
  <si>
    <t>לכן לכאורה, אין צורך לתת ביטוי לאירוע; אלא שבמקרה הספציפי הזה, נתון 10 מעיד על כך שרווחי הון חייבים</t>
  </si>
  <si>
    <t>בשיעור מס מיוחד ששונה משיעור מס חברות.</t>
  </si>
  <si>
    <t>ואם כך, אם נתקלתי בהכנסה שחייבת בשיעור מס שונה, עליי:</t>
  </si>
  <si>
    <t>א. לנטרל את ההכנסה מההכנסה החייבת במס ״רגיל״ בדוח ההתאמה:</t>
  </si>
  <si>
    <t>בדוח ההתאמה: הפחת - רווח הון החייב בשיעור מס מיוחד</t>
  </si>
  <si>
    <t>ב. לזכור לייצר תחשיב מס ספציפי להכנסה המיוחדת ומיסויה לאחר חישוב המס הבסיסי:</t>
  </si>
  <si>
    <t>מס בגין רווח הון:</t>
  </si>
  <si>
    <t xml:space="preserve">20% * 300,000 = </t>
  </si>
  <si>
    <t>דוח ההתאמה למס הכנסה - לשנת 2013:</t>
  </si>
  <si>
    <t xml:space="preserve">לשנה שנסתיימה ב-31/12/2013 </t>
  </si>
  <si>
    <t>ש״ח</t>
  </si>
  <si>
    <t>הוסף:</t>
  </si>
  <si>
    <t>הפחת:</t>
  </si>
  <si>
    <t>סך ההכנסה החייבת במס חברות</t>
  </si>
  <si>
    <t>סך הכל מס חברות רגיל מחושב</t>
  </si>
  <si>
    <t>זיכוי מס בגין תרומות</t>
  </si>
  <si>
    <t>מס מיוחד בגין רווח הון</t>
  </si>
  <si>
    <t>מסים שוטפים לתשלום נטו</t>
  </si>
  <si>
    <t>הוצאות פחת מבנה (אירוע 1)</t>
  </si>
  <si>
    <t>התאמה חיובית בדוח ההתאמה - (עלייה בהכנסה החייבת) - הוצאות פחת מכונת ייצור שאינן מותרות:</t>
  </si>
  <si>
    <t>הוצאות פחת מכונת ייצור (אירוע 2)</t>
  </si>
  <si>
    <t>רווח מעליית ערך נדל״ן להשקעה (אירוע 3)</t>
  </si>
  <si>
    <t>הוצאות פחת נדל״ן להשקעה (אירוע 3)</t>
  </si>
  <si>
    <t>הכנסות שכירות (אירוע 4)</t>
  </si>
  <si>
    <t>הוצאות הפרשה לאחריות (אירוע 5)</t>
  </si>
  <si>
    <t>הכנסות הלח״מ ואבודים (אירוע 6)</t>
  </si>
  <si>
    <t>קנסות (אירוע 7)</t>
  </si>
  <si>
    <t>תרומות (אירוע 8)</t>
  </si>
  <si>
    <t>רווח הון שחייב במס שונה (אירוע 9)</t>
  </si>
  <si>
    <t>שיעור מס החברות (שתקף השנה)</t>
  </si>
  <si>
    <t>פקודת יומן למתן ביטוי למסים שוטפים:</t>
  </si>
  <si>
    <t>ח׳ הוצאות מסים שוטפים</t>
  </si>
  <si>
    <t>ז׳ מסים לשלם / עו״ש</t>
  </si>
  <si>
    <t>תנועה במסים הנדחים - והוצאות / הכנסות מסים נדחים בהתאם</t>
  </si>
  <si>
    <t>פרטים</t>
  </si>
  <si>
    <t>התחייבות 
מס נדחה</t>
  </si>
  <si>
    <t>נכס 
מס נדחה</t>
  </si>
  <si>
    <t>מבנה משרדים (אירוע 1)</t>
  </si>
  <si>
    <t>מכונת ייצור (אירוע 2)</t>
  </si>
  <si>
    <t>נדל״ן להשקעה (אירוע 3)</t>
  </si>
  <si>
    <t>הכנסות מראש (אירוע 4)</t>
  </si>
  <si>
    <t>הפרשה לאחריות (אירוע 5)</t>
  </si>
  <si>
    <t>הלח״מ (אירוע 6)</t>
  </si>
  <si>
    <t>סך הכל</t>
  </si>
  <si>
    <t>ח׳ נכס מס נדחה</t>
  </si>
  <si>
    <t xml:space="preserve">488,338 - 456,500 = </t>
  </si>
  <si>
    <t>ח׳ התחייבות למסים נדחים</t>
  </si>
  <si>
    <t xml:space="preserve">285,200 - 265,800 = </t>
  </si>
  <si>
    <t>ז׳ הכנסות מס נדחה</t>
  </si>
  <si>
    <t xml:space="preserve">31,838 + 19,400 = </t>
  </si>
  <si>
    <t>בסך הכל, הוצאות המס בדוח רווח והפסד הן:</t>
  </si>
  <si>
    <t>הכנסות מס נדחה</t>
  </si>
  <si>
    <t>הוצאות מס ברוו״ה</t>
  </si>
  <si>
    <t>ח׳ התחייבות למס נדחה</t>
  </si>
  <si>
    <t>או:</t>
  </si>
  <si>
    <t>דוח התאמה:</t>
  </si>
  <si>
    <t>רווח חשבונאי</t>
  </si>
  <si>
    <t>הפחת: קיטון בהפרש</t>
  </si>
  <si>
    <t>הכנסה חייבת במס חברות</t>
  </si>
  <si>
    <t>ז׳ נכס מס נדחה 10,000</t>
  </si>
  <si>
    <t>ח׳ הוצאות מס נדחה 10,000</t>
  </si>
  <si>
    <t>סך הוצ׳ מס:</t>
  </si>
  <si>
    <t>פחת נוסף</t>
  </si>
  <si>
    <t>מס שוטף</t>
  </si>
  <si>
    <t>התחייבות מ״נ</t>
  </si>
  <si>
    <t>ז׳ התחייבות למ״נ 1,500</t>
  </si>
  <si>
    <t>ח׳ הוצאות מ״נ 1,500</t>
  </si>
  <si>
    <t>31/12/20211</t>
  </si>
  <si>
    <t>הלח״מ</t>
  </si>
  <si>
    <t>רשות המסים</t>
  </si>
  <si>
    <t>ח׳ נכס מס נדחה 9,000</t>
  </si>
  <si>
    <r>
      <t xml:space="preserve">ז׳ </t>
    </r>
    <r>
      <rPr>
        <b/>
        <u/>
        <sz val="12"/>
        <color theme="1"/>
        <rFont val="David"/>
      </rPr>
      <t>הכנסות</t>
    </r>
    <r>
      <rPr>
        <sz val="12"/>
        <color theme="1"/>
        <rFont val="David"/>
      </rPr>
      <t xml:space="preserve"> מס נדחה 9,000</t>
    </r>
  </si>
  <si>
    <t>נכס מ״נ</t>
  </si>
  <si>
    <t>ז׳ הכנסות מס נדחה 6,000</t>
  </si>
  <si>
    <t>ח׳ נכס מס נדחה 6,000</t>
  </si>
  <si>
    <t>מלכ״רים - תקן ישראלי</t>
  </si>
  <si>
    <t>מכונת נקניק 1</t>
  </si>
  <si>
    <t>הפרש זמני
ניתן לניכוי</t>
  </si>
  <si>
    <t>דוח התאמה למס - 2019:</t>
  </si>
  <si>
    <t>פחת מכונת נקניק (1)</t>
  </si>
  <si>
    <t>התרגילים שלא הספקנו</t>
  </si>
  <si>
    <t>תרגול נוסף IAS 12</t>
  </si>
  <si>
    <t>כל שיעורי הבית - טרם הועלה להם פתרון ולכן נפתור</t>
  </si>
  <si>
    <t>מלכר״ים</t>
  </si>
  <si>
    <t>מבנה חלק א - רכוש קבוע (2)</t>
  </si>
  <si>
    <t>הפרש זמני
חייב במס</t>
  </si>
  <si>
    <t>התחייבות 
למס נדחה</t>
  </si>
  <si>
    <t>מבנה חלק ב - חלק נדל״ן להשקעה (2)</t>
  </si>
  <si>
    <t>פחת נוסף מבנה (2א),(2ב)</t>
  </si>
  <si>
    <t>רווח מע״ע נדל״ן להשקעה(2ב)</t>
  </si>
  <si>
    <t>הסבר נוסף, סעיף 2:</t>
  </si>
  <si>
    <t>החשבונאות הכירה בהוצאות פחת - בגין רכיב הרכוש הקבוע:</t>
  </si>
  <si>
    <t>רשות המסים הכירה בהוצאות פחת - בגין כלל המבנה ללא הפרדה:</t>
  </si>
  <si>
    <t>רשות המסים (בדוח התאמה) הכירה בהוצאות פחת נוסף:</t>
  </si>
  <si>
    <t>החשבונאות הכירה ברווח מעליית ערך נדל״ן:</t>
  </si>
  <si>
    <t>רשות המסים הכירה ברווח מעליית ערך נדל״ן:</t>
  </si>
  <si>
    <t>רשות המסים (בדוח התאמה) תנטרל הכנסה (במינוס)</t>
  </si>
  <si>
    <t>נכס בלתי מוחשי (3)</t>
  </si>
  <si>
    <t>הפריט כולל עלויות שהוונו בסך 60,000</t>
  </si>
  <si>
    <t>עלויות אלו יופחתו משנת 2020 ואילך:</t>
  </si>
  <si>
    <t>הפחתה ספרים</t>
  </si>
  <si>
    <t>הפחתה לרשות המסים</t>
  </si>
  <si>
    <t>מגוון ראו משמאל</t>
  </si>
  <si>
    <t>עלויות נכס בלתי מוחשי (3)</t>
  </si>
  <si>
    <t>הכרתי בנכס בספרים</t>
  </si>
  <si>
    <t>רשות המסים: זו הוצאה!</t>
  </si>
  <si>
    <t>לא הכרתי בהוצאה השנה!</t>
  </si>
  <si>
    <t>רשות המסים כן הכירה בהוצאה!</t>
  </si>
  <si>
    <t>הלח״מ (4)</t>
  </si>
  <si>
    <t>נכס מס
נדחה</t>
  </si>
  <si>
    <t>הוצאות הלח״מ (4)</t>
  </si>
  <si>
    <t>הכנסות לקבל (5)</t>
  </si>
  <si>
    <t>הכנסות מייעוץ (5)</t>
  </si>
  <si>
    <t>מס בגין הכנסה מיוחדת</t>
  </si>
  <si>
    <t>נתון 8  - מתנות:</t>
  </si>
  <si>
    <t>הוצאה כוללת בספרים</t>
  </si>
  <si>
    <t>ברשות המסים:</t>
  </si>
  <si>
    <t>לקוחות וספקים</t>
  </si>
  <si>
    <t>סכום מתנה: 300</t>
  </si>
  <si>
    <t>מוכר: 200</t>
  </si>
  <si>
    <t>סכום מתנה: 100</t>
  </si>
  <si>
    <t>מוכר: 100</t>
  </si>
  <si>
    <t>סך הוצאה מותרת בניכוי לצורך מס:</t>
  </si>
  <si>
    <t xml:space="preserve">14 * 200 + 14 * 100 = </t>
  </si>
  <si>
    <t>הוצאות שאינן מותרות - ייכללו בסימן חיובי בדוח התאמה:</t>
  </si>
  <si>
    <t xml:space="preserve">15,000 - 4,200 = </t>
  </si>
  <si>
    <t>כיבודים (7)</t>
  </si>
  <si>
    <t>מתנות (8)</t>
  </si>
  <si>
    <t>הכנסה חייבת במס שונה (6)</t>
  </si>
  <si>
    <t>תרומות (9)</t>
  </si>
  <si>
    <t>קנסות (10)</t>
  </si>
  <si>
    <t>רווח חשבונאי לפני מס (11)</t>
  </si>
  <si>
    <t>הכנסה חייבת במס רגיל</t>
  </si>
  <si>
    <t>מס חברות ברוטו</t>
  </si>
  <si>
    <t>מסים שוטפים לתשלום</t>
  </si>
  <si>
    <t>תנועה במסים הנדחים והוצאות מס נדחה</t>
  </si>
  <si>
    <t>נכסי</t>
  </si>
  <si>
    <t xml:space="preserve">מס </t>
  </si>
  <si>
    <t>נדחה</t>
  </si>
  <si>
    <t>התחייבויות</t>
  </si>
  <si>
    <t>מכונת נקניק (1)</t>
  </si>
  <si>
    <t>מבנה חלק א(2)</t>
  </si>
  <si>
    <t>מבנה חלק ב(2)</t>
  </si>
  <si>
    <t>נכס בלתי מוחשי(3)</t>
  </si>
  <si>
    <t>התחייבות
למס נדחה</t>
  </si>
  <si>
    <t>ז׳ התחייבות. למס נדחה</t>
  </si>
  <si>
    <t>ח׳ הוצאות מסים נדחים</t>
  </si>
  <si>
    <t>פקודה לתיעוד התנועה במסים הנדחים:</t>
  </si>
  <si>
    <t>סך הוצאות המס לדיווח - סעיף הוצאות מסים בדוח רווח והפסד:</t>
  </si>
  <si>
    <t>הוצאות מסים שוטפים</t>
  </si>
  <si>
    <t>הוצאות מסים נדחים</t>
  </si>
  <si>
    <t>סה״כ הוצאות מס</t>
  </si>
  <si>
    <t>הוסף - הוצאות הפרשה לאחריות</t>
  </si>
  <si>
    <t>תרגול נוסף IAS 12 ע״ס ש״ב
סוגיות נוספות להשלמה:
ייחוס מס כנגד קרן הון
היעדר צפי להכנסה חייבת
הפסדים מועברים משנים קודמות</t>
  </si>
  <si>
    <t>סוגיות מדידה א - הרצאות 3, 4 וחלק מ-5 - מסים על ההכנסה</t>
  </si>
  <si>
    <t>סוגיות מדידה א - הרצאה 5 (חלק ב) - השלמת סוגיות במסים על ההכנסה</t>
  </si>
  <si>
    <t xml:space="preserve">רוב רובו של הדיון בנושא IAS 12 כבר מאחורינו, בשעה טובה. </t>
  </si>
  <si>
    <t>לא זאת גם זאת, התרגילים האחרונים שפתרנו יחד, הם בהחלט ברמה ראויה לקראת הבחינה.</t>
  </si>
  <si>
    <t xml:space="preserve">נותר לנו לטפל במספר סוגיות נוספות, ואז כבר נוכל החל מהמפגש הבא להמשיך הלאה בנושא מלכ״רים. </t>
  </si>
  <si>
    <t>סוגיה 1 - ייחוס מסים כנגד קרן הון</t>
  </si>
  <si>
    <t xml:space="preserve">כאשר חברה מבצעת שערוך של רכוש קבוע - במקרים רבים ההשפעה (במקרים של עליית ערך) נזקפת כנגד קרן הון. </t>
  </si>
  <si>
    <t>התפיסה החשבונאית היא כי מסים נדחים הנוצרים כתוצאה מהפרש זמני הנזקף לקרן הון, השפעתם לא תיזקף</t>
  </si>
  <si>
    <t>לדוח רווח והפסד אלא תקוזז מקרן ההון.</t>
  </si>
  <si>
    <t xml:space="preserve">חברת ״שוהם שהיא לא באמת משוהם״ בע״מ רכשה מכונה לחימום נקניק. עלות המכונה 100,000 ש״ח, מועד </t>
  </si>
  <si>
    <t xml:space="preserve">רכישתה ה-1.1.2023 והיא מופחתת על פני 10 שנים בשיטת הקו הישר ללא ערך שייר / גרט. </t>
  </si>
  <si>
    <t>כאשר תדירות ההערכה מחדש היא אחת לשנה.</t>
  </si>
  <si>
    <t xml:space="preserve">החברה מאמצת את מודל ההערכה מחדש לשם מדידת פריטי הרכוש הקבוע מקבוצת מכונות חימום הנקניק </t>
  </si>
  <si>
    <t xml:space="preserve">כמו כן, החברה מאפסת את הפחת הנצבר בכל מועד הערכה מחדש. </t>
  </si>
  <si>
    <t>ידוע כי הרווח לפני מס בחברה בשנת 2023 הסתכם ב-800,000 ש״ח, כי רשות המסים מכירה בהוצאות והכנסות</t>
  </si>
  <si>
    <t>בגין פריטי רכוש קבוע לפי מודל העלות, וכי שיעור המס הוא 23% ואיננו צפוי להשתנות. כמו כן, החברה צופה</t>
  </si>
  <si>
    <t>הכנסה החייבת במס בעתיד הנראה לעין.</t>
  </si>
  <si>
    <t>א. את דוח ההתאמה למס ואת החבות במסים שוטפים.</t>
  </si>
  <si>
    <t xml:space="preserve">ג. את סך הוצאות המס ברווח והפסד. </t>
  </si>
  <si>
    <t>אם ידוע שהשווי ההוגן של המכונה ליום 31.12.2023 הנו 150,000 ש״ח, הציגו:</t>
  </si>
  <si>
    <t>דוח התאמה למס - 2023:</t>
  </si>
  <si>
    <t>פקודת יומן למתן ביטוי לתנועה במס נדחה:</t>
  </si>
  <si>
    <t>ח׳ קרן הערכה מחדש</t>
  </si>
  <si>
    <t>ז׳ התחייבות למס נדחה</t>
  </si>
  <si>
    <t>ב. את התנועה במסים הנדחים כולל פקודת יומן מתאימה.</t>
  </si>
  <si>
    <t xml:space="preserve">הואיל ואין חישוב של הוצאות מסים </t>
  </si>
  <si>
    <t xml:space="preserve">נדחים כנגד התחייבות למס נדחה, </t>
  </si>
  <si>
    <t>הוצאות המס השוטף תהיינה זהות</t>
  </si>
  <si>
    <t xml:space="preserve">להוצאות המס. </t>
  </si>
  <si>
    <t>שאלה 2 - ייחוס מסים כנגד קרן הון - השתלשלות קדימה</t>
  </si>
  <si>
    <t>חברת ״עידו הקונדיטור״ בע״מ רכשה ב-1.1.2023 תנור חדש בעלות של 200,000 ש״ח. התנור מופחת על פני 5 שנים</t>
  </si>
  <si>
    <t xml:space="preserve">בשיטת הקו הישר ללא ערך שייר / גרט. הפריט נמדד לפי מודל הערכה מחדש בהתאם להנחיות IAS 16. </t>
  </si>
  <si>
    <t xml:space="preserve">תדירות ההערכה מחדש היא אחת לשנה. </t>
  </si>
  <si>
    <t xml:space="preserve">בהתאם להערכת שמאי, השווי ההוגן של הפריט ליום 31.12.2023 הינו 120,000 ש״ח ואילו השווי ההוגן של הפריט </t>
  </si>
  <si>
    <t>ליום 31.12.2024 הנו 180,000 ש״ח.</t>
  </si>
  <si>
    <t xml:space="preserve">ב-500,000 ש״ח. </t>
  </si>
  <si>
    <t>הרווח החשבונאי לפני מס לשנת 2023 הסתכם ב-400,000 ש״ח ואילו הרווח החשבונאי לפני מס לשנת 2024 הסתכם</t>
  </si>
  <si>
    <t xml:space="preserve">החברה צופה הכנסה חייבת בעתיד הנראה לעין, ושיעור המס הנוכחי והצפוי בעתיד הוא 23%. </t>
  </si>
  <si>
    <t>נדרש להציג:</t>
  </si>
  <si>
    <t xml:space="preserve">רשות המסים מכירה בהכנסות / הוצאות שינויים בשווי הנכס לפי מודל העלות כהגדרתו ב - IAS 16. </t>
  </si>
  <si>
    <t>הפרש זמני (ניתן לניכוי) חייב במס</t>
  </si>
  <si>
    <t>נכס מס נדחה (התחייבות למס נדחה)</t>
  </si>
  <si>
    <t>אופן מדידת הפריט בשנת 2023:</t>
  </si>
  <si>
    <t>ערך ספרים טרם שערוך</t>
  </si>
  <si>
    <t>עליית ערך לקרן הון</t>
  </si>
  <si>
    <t>ח׳ רכוש קבוע</t>
  </si>
  <si>
    <t>ז׳ קרן הערכה מחדש</t>
  </si>
  <si>
    <t>פקודת יומן למתן ביטוי לקרן הערכה מחדש ברוטו:</t>
  </si>
  <si>
    <t xml:space="preserve">בניכוי הכנסות מס נדחה </t>
  </si>
  <si>
    <t xml:space="preserve">סך הוצאות המס ברוו״ה </t>
  </si>
  <si>
    <t>פקודה לביטוי התנועה במס נדחה - 2023:</t>
  </si>
  <si>
    <t>סך הוצאות המס - 2023:</t>
  </si>
  <si>
    <t xml:space="preserve">רגע שי! עצור שניה... אתה הרי אמרת </t>
  </si>
  <si>
    <t>שאם מבצעים הערכה מחדש אין לזקוף</t>
  </si>
  <si>
    <t>את ההשפעה להוצאות מס, לא?</t>
  </si>
  <si>
    <t>התשובה שלילית! לא זוקפים להוצאות</t>
  </si>
  <si>
    <t>מס כאשר ההשפעה נזקפה לקרן.</t>
  </si>
  <si>
    <t>כאן יש ירידת ערך, ולא זקיפה לקרן.</t>
  </si>
  <si>
    <t>לכן צריך לייצר הוצאות מס נדחה / הכנסות</t>
  </si>
  <si>
    <t>מס נדחה.</t>
  </si>
  <si>
    <t>דוח התאמה למס - 2024:</t>
  </si>
  <si>
    <t>אופן מדידת הפריט בשנת 2024</t>
  </si>
  <si>
    <t>ערך ספרים לפני שערוך</t>
  </si>
  <si>
    <t>יתרת עלות מקורית מופחתת</t>
  </si>
  <si>
    <t>שווי עדכני</t>
  </si>
  <si>
    <t>עליית ערך - לרווח והפסד</t>
  </si>
  <si>
    <t>עליית ערך כנגד קרן הון</t>
  </si>
  <si>
    <t>נפרק את התנועה בהפרש הזמני</t>
  </si>
  <si>
    <t>תנועה בעקבות הפחתה</t>
  </si>
  <si>
    <t>סך התנועה בהפרש הזמני</t>
  </si>
  <si>
    <t>כנגד רוו״ה</t>
  </si>
  <si>
    <t>כנגד קרן הון</t>
  </si>
  <si>
    <t>לכן פקודת היומן למתן ביטוי לתנועה במס נדחה:</t>
  </si>
  <si>
    <t>ז׳ נכס מס נדחה</t>
  </si>
  <si>
    <t>ח׳ הוצאות מס נדחה</t>
  </si>
  <si>
    <t>סך הוצאות המס - 2024:</t>
  </si>
  <si>
    <t>הוסף הוצאות מס נדחה</t>
  </si>
  <si>
    <t>שאלה 1 - ייחוס מסים כנגד קרן הון - הבסיס של הבסיס</t>
  </si>
  <si>
    <t>סוגיה 2 - היעדר צפי להכנסה חייבת</t>
  </si>
  <si>
    <t>סעיף 27 ל - IAS 12 קובע:</t>
  </si>
  <si>
    <t>ההיפוך של הפרשים זמניים הניתנים לניכוי גורם לניכויים בקביעת ההכנסה החייבת בתקופות עתידיות. אולם, הטבות</t>
  </si>
  <si>
    <t xml:space="preserve">כלכליות בצורה של הפחתות בתשלומי המס יזרמו לישות רק אם הישות תרוויח הכנסה חייבת בסכומים מספיקים </t>
  </si>
  <si>
    <t xml:space="preserve">שכנגדה ניתן יהיה לקזז את הניכויים. </t>
  </si>
  <si>
    <t>לפיכך, ישות מכירה בנכסי מסים נדחים רק כאשר צפוי שתהיה הכנסה חייבת שכנגדה ניתן יהיה לנצל את ההפרשים</t>
  </si>
  <si>
    <t xml:space="preserve">הזמניים הניתנים לניכוי. </t>
  </si>
  <si>
    <t>שימוש עצמי כלשהו על ידי החברה). עלות המבנה הסתכמה ב-1,000,000 ש״ח. החברה מודדת פריטי נדל״ן להשקעה</t>
  </si>
  <si>
    <t xml:space="preserve">לפי הערכת שמאי הוא 800,000 ש״ח. יש להניח שרכיב הקרקע זניח, ואורך חיי המבנה 40 שנים. </t>
  </si>
  <si>
    <t xml:space="preserve">החברה לא צפתה הכנסה חייבת בעתיד הנראה לעין ליום 31.12.2020, ובשנת 2021 צברה הפסדים נוספים (חשבונאיים) </t>
  </si>
  <si>
    <t>בסכום של 300,000 ש״ח. יחד עם זאת, לתום שנת 2021, היא מעריכה שבשנים הבאות וטרם מכירת הנדל״ן רווחיה</t>
  </si>
  <si>
    <t xml:space="preserve">נדרש: </t>
  </si>
  <si>
    <t>פתרון שאלה 3</t>
  </si>
  <si>
    <t>יהפכו לחיוביים וגבוהים. שיעור המס הנו 23% ואיננו צפוי להשתנות בעתיד הנראה לעין.</t>
  </si>
  <si>
    <t>הציגו דוח התאמה, יתרות מסים נדחים ואת סך הוצאות המס כולל תנועה במס נדחה. כמו כן הציגו את הביאור</t>
  </si>
  <si>
    <t>על המס התיאורטי.</t>
  </si>
  <si>
    <t>שווי המבנה ל-31.12.2021 הוא 750,000 ש״ח. בשנת 2020 הפסדי החברה הסתכמו ב-400,000 ש״ח.</t>
  </si>
  <si>
    <t>לינוי רזאל בע״מ היא חברה שהוקמה ב-1.1.2020.</t>
  </si>
  <si>
    <t xml:space="preserve">החברה רכשה ב-1.1.2020 מבנה המיועד לשרת אותה לשם הנבת הכנסות שכירות בלבד (לא מבוצע במבנה </t>
  </si>
  <si>
    <t>דוח התאמה 2020 והוצאות מס:</t>
  </si>
  <si>
    <t>דוח התאמה 2021 והוצאות מס:</t>
  </si>
  <si>
    <t>הכנסות מס - תיאורטי</t>
  </si>
  <si>
    <t>סה״כ הכנסות מס</t>
  </si>
  <si>
    <t>הפרשה לאחריות (1)</t>
  </si>
  <si>
    <t>דוח התאמה למס 2019</t>
  </si>
  <si>
    <t>הוצאות הפרשה לאחריות</t>
  </si>
  <si>
    <t>לצורך ספרים:</t>
  </si>
  <si>
    <t>נחשב את ערך הספרים ערב שינוי האומדן - 1.1.2015</t>
  </si>
  <si>
    <t>פחנ״צ</t>
  </si>
  <si>
    <t xml:space="preserve">החל ממועד זה, יופחת הפריט על פני 6 שנים, </t>
  </si>
  <si>
    <t>ובהנחת גרט של 5,000.</t>
  </si>
  <si>
    <t>הוצאות פחת בכל שנה עוקבת:</t>
  </si>
  <si>
    <t>הוצאות פחת ריהוט</t>
  </si>
  <si>
    <t>ריהוט (2)</t>
  </si>
  <si>
    <t>קרקע (3)</t>
  </si>
  <si>
    <t>לצרכי מדידה בספרים, עלינו לדעת מהו השווי ההוגן שבו נמדד פריט הנדל״ן בכל מועד דיווח.</t>
  </si>
  <si>
    <t xml:space="preserve">העלייה בשווי באחוזים עובדת באופן ״אקספוננציאלי״ = כלומר כל עליה בשנה מסוימת </t>
  </si>
  <si>
    <t xml:space="preserve">היא ביחס לשנה קודמת (כעין ״ריבית דריבית). </t>
  </si>
  <si>
    <t>שווי לתום 2018:</t>
  </si>
  <si>
    <t>1,000,000 * 1.05^3 * 1.1^2 =</t>
  </si>
  <si>
    <t>1,000,000 * 1.05^3 * 1.1^3 =</t>
  </si>
  <si>
    <t xml:space="preserve">שיעור המס לפיו נייחס מסים ב-2019 הוא שיעור המס הצפוי בהיפוך. עיתוי ההיפוך - </t>
  </si>
  <si>
    <t>הוא עיתוי המכירה, שמועדה לא נתון בשאלה. יחד עם זאת, בהנתן שנדל״ן להשקעה הוא</t>
  </si>
  <si>
    <t>נכס לא שוטף, סבירה ההנחה שעיתוי המימוש הוא בתוך פרק זמן העולה על שנה ממועד</t>
  </si>
  <si>
    <t>הדיווח - כלומר ב-2021 צפונה, ובהתאם, שיעור המס שיחול 39%.</t>
  </si>
  <si>
    <t>רווח מעליית ערך נדל״ן</t>
  </si>
  <si>
    <t>לקבל/מראש (5)</t>
  </si>
  <si>
    <t>לקבל (נכס)</t>
  </si>
  <si>
    <t>מראש (התח׳)</t>
  </si>
  <si>
    <t>הפרש זמני חייב במס (ניתן לניכוי)</t>
  </si>
  <si>
    <t>כברירת מחדל: עיתוי ההיפוך של חשבונות חתך בהיעדר נתונים סותרים</t>
  </si>
  <si>
    <t xml:space="preserve">הוא השנה העוקבת לשנת הדיווח, ומשום כך, נכון לתום 2019, </t>
  </si>
  <si>
    <t>יוחסו המסים לפי שיעור המס הצפוי לשנת 2020 - 37%</t>
  </si>
  <si>
    <t>בהיבט השפעת ההפרש על דוח ההתאמה:</t>
  </si>
  <si>
    <t>כאשר חברה מאפסת נכס הכנסות לקבל:</t>
  </si>
  <si>
    <t>ח׳ הכנסות מייעוץ</t>
  </si>
  <si>
    <t>ז׳ הכנסות לקבל</t>
  </si>
  <si>
    <t>כאשר חברה מעדכנת / מייצרת הכנסות מראש:</t>
  </si>
  <si>
    <t>ז׳ הכנסות מראש</t>
  </si>
  <si>
    <t>רשות המסים רואה כהכנסה את כל ה-200,000 ולכן זו ההתאמה המתבקשת בסימן חיובי.</t>
  </si>
  <si>
    <t>הכנסות מייעוץ ע״ב מזומן</t>
  </si>
  <si>
    <t>הלח״מ (6)</t>
  </si>
  <si>
    <t>הוצאות הלח״מ</t>
  </si>
  <si>
    <t>נתון 7:</t>
  </si>
  <si>
    <t>הכנסה החייבת בשיעור מס שונה:</t>
  </si>
  <si>
    <t>תנוטרל (במינוס) מההכנסה החייבת במס רגיל, ותתווסף בסוף התהליך כמס מיוחד.</t>
  </si>
  <si>
    <t>הכנסה מיוחדת במס שונה</t>
  </si>
  <si>
    <t>מס הכנסה מיוחדת</t>
  </si>
  <si>
    <t>נתון 8:</t>
  </si>
  <si>
    <t>שווי לתום 2019:</t>
  </si>
  <si>
    <t>רכיב ההוצאה שאיננו מוכר יתווסף להכנסה החייבת:</t>
  </si>
  <si>
    <t xml:space="preserve">20% * 30,000 = </t>
  </si>
  <si>
    <t>הוצאות כיבודים</t>
  </si>
  <si>
    <t>נתון 9:</t>
  </si>
  <si>
    <t>מספר המקבלים:</t>
  </si>
  <si>
    <t>תיעוד</t>
  </si>
  <si>
    <t>זהות</t>
  </si>
  <si>
    <t>מקבלים</t>
  </si>
  <si>
    <t>אי תיעוד</t>
  </si>
  <si>
    <t>זהות, לא מוכר</t>
  </si>
  <si>
    <t>התאמה מלאה בין רשות המסים</t>
  </si>
  <si>
    <t>לחשבונאות - כל ההוצאה מוכרת</t>
  </si>
  <si>
    <t>ניתן</t>
  </si>
  <si>
    <t>להכיר</t>
  </si>
  <si>
    <t>רק ב-200</t>
  </si>
  <si>
    <t>למקבל</t>
  </si>
  <si>
    <t>הוצ׳ לא מוכרת:</t>
  </si>
  <si>
    <t xml:space="preserve">300 * 45 = </t>
  </si>
  <si>
    <t xml:space="preserve">סכום כולל: </t>
  </si>
  <si>
    <t>סכום כולל:</t>
  </si>
  <si>
    <t xml:space="preserve">66,000 - 22,500 - 4,500 = </t>
  </si>
  <si>
    <t>סכום מתנות כולל:</t>
  </si>
  <si>
    <t>500 * 45</t>
  </si>
  <si>
    <t>100 * 45</t>
  </si>
  <si>
    <t>PN</t>
  </si>
  <si>
    <t>תועדו בסכום גבוה</t>
  </si>
  <si>
    <t>תועדו בסכום נמוך</t>
  </si>
  <si>
    <t>לא תועדו</t>
  </si>
  <si>
    <t>סך התשלום</t>
  </si>
  <si>
    <t>נתון</t>
  </si>
  <si>
    <t>הוצ׳ לא מוכרת</t>
  </si>
  <si>
    <t>סה״כ הוצאה לא מוכרת</t>
  </si>
  <si>
    <t>בגין אי תיעוד</t>
  </si>
  <si>
    <t>בגין סכום גבוה</t>
  </si>
  <si>
    <t>סה״כ לא מוכר</t>
  </si>
  <si>
    <t>מתנות</t>
  </si>
  <si>
    <t>נתון 10 - תרומות:</t>
  </si>
  <si>
    <t>אינן הוצאה מוכרת - נוסיף להכנסה החייבת.</t>
  </si>
  <si>
    <t>יחד עם זאת, מקנות זיכוי ממס, בסוף התהליך - נייצר קיטון במסים השוטפים לפי שיעור של 35%</t>
  </si>
  <si>
    <t>מתוכן .</t>
  </si>
  <si>
    <t>תרומות</t>
  </si>
  <si>
    <t>זיכוי מס - תרומות</t>
  </si>
  <si>
    <t>נתון 11 - קנסות:</t>
  </si>
  <si>
    <t>הקנסות אינן הוצאה מוכרת - נוסיף אותן להכנסה החייבתת.</t>
  </si>
  <si>
    <t>קנסות</t>
  </si>
  <si>
    <t>מס חברות (ברוטו)</t>
  </si>
  <si>
    <t>מסים שוטפים, נטו / לתשלום</t>
  </si>
  <si>
    <t>יתרות ותנועות במסים נדחים</t>
  </si>
  <si>
    <t>סעיף / אירוע</t>
  </si>
  <si>
    <t>התחייבות למס נדחה</t>
  </si>
  <si>
    <t>הכנסות לקבל / מראש (5)</t>
  </si>
  <si>
    <t>ז׳ התחייבות למסים נדחים</t>
  </si>
  <si>
    <t xml:space="preserve">72,683 - 27,883 = </t>
  </si>
  <si>
    <t xml:space="preserve">210,912 - 182,254 = </t>
  </si>
  <si>
    <t xml:space="preserve">44,799 - 28,657 = </t>
  </si>
  <si>
    <t>סעיף הוצאות המס בדוח רווח והפסד:</t>
  </si>
  <si>
    <t>השורה התחתונה בדוח ההתאמה</t>
  </si>
  <si>
    <t>בניכוי הכנסות מס נדחה</t>
  </si>
  <si>
    <t>סך הוצ׳ מס בדוח רוו״ה</t>
  </si>
  <si>
    <t>שימו לב: החשבונאות - לא מכירה ברווח והפסד בעליית הערך (אלא בקרן הון);</t>
  </si>
  <si>
    <t>גם רשות המסים לא מכירה בעליית ערך זו;</t>
  </si>
  <si>
    <t>לכן אין צורך בהתאמה.</t>
  </si>
  <si>
    <t>הפסד מירידת ערך</t>
  </si>
  <si>
    <t xml:space="preserve">120,000 - 120,000/4 = </t>
  </si>
  <si>
    <t>עליית ערך כלכלית</t>
  </si>
  <si>
    <t xml:space="preserve">180,000 - 90,000 = </t>
  </si>
  <si>
    <t xml:space="preserve">200,000 - 200,000 / 5 * 2 = </t>
  </si>
  <si>
    <t>כנגד רוו״ה (הפרשי פחת)</t>
  </si>
  <si>
    <r>
      <t>(</t>
    </r>
    <r>
      <rPr>
        <sz val="12"/>
        <color rgb="FF00B050"/>
        <rFont val="David"/>
      </rPr>
      <t>30,000</t>
    </r>
    <r>
      <rPr>
        <sz val="12"/>
        <color theme="1"/>
        <rFont val="David"/>
      </rPr>
      <t xml:space="preserve"> + 10,000) * 23% = </t>
    </r>
  </si>
  <si>
    <r>
      <rPr>
        <sz val="12"/>
        <color rgb="FFFF0000"/>
        <rFont val="David"/>
      </rPr>
      <t>60,000</t>
    </r>
    <r>
      <rPr>
        <sz val="12"/>
        <color theme="1"/>
        <rFont val="David"/>
      </rPr>
      <t xml:space="preserve"> * 23% = </t>
    </r>
  </si>
  <si>
    <t>הפחת: רווח מעליית ערך</t>
  </si>
  <si>
    <t>הפחת: הוצאות פחת נוספות</t>
  </si>
  <si>
    <t xml:space="preserve">מלכ״ר הוא מוסד ללא כוונת רווח. </t>
  </si>
  <si>
    <t>בהקשר החשבונאי (של תקן 40) התקן לא חל על יחידה שלטונית כגון ממשלה, רשות מקומית וכו׳, שמקורות</t>
  </si>
  <si>
    <t>הכנסתה הן מכוח חוק כגון מסים, אגרות והיטלים.</t>
  </si>
  <si>
    <t>קהל היעד:</t>
  </si>
  <si>
    <t>קהל היעד של דיווחי מלכ״ר איננו המשקיעים; אלא בעלי עניין כגון תורמים, עמיתים, בעלי חוב, נותני אשראי וכן</t>
  </si>
  <si>
    <t>רשויות שלטוניות. אלו מעוניינים לבחון את האופן שבו המלכ״ר ממלא את תפקידו, לרבות לצרכים של מנהל תקין</t>
  </si>
  <si>
    <t>מאפיינים כלליים של דוחות כספיים:</t>
  </si>
  <si>
    <t>התקן דן בהם, אך במהות, הם אינם שונים באופן מספק ממאפיינים של דיווח כספי כללי. לכן נדגים זאת בתרגילים.</t>
  </si>
  <si>
    <t>דוחות כספיים במלכ״ר:</t>
  </si>
  <si>
    <t>התקן מאמץ גישה לדיווח הנקראת ״הגישה הכוללנית״.</t>
  </si>
  <si>
    <t xml:space="preserve">בהתאם לגישה זו, יש לכלול את כל הנכסים, ההתחייבויות ו... לא. לא ההון העצמי. אלא מושג שנקרא ״נכסים נטו״. </t>
  </si>
  <si>
    <t>הדוחות הכספיים כוללים:</t>
  </si>
  <si>
    <t>א. מאזן</t>
  </si>
  <si>
    <t>ב. דוח על הפעילויות (במקום דוח רווח והפסד).</t>
  </si>
  <si>
    <t>ד. דוח על תזרימי המזומנים</t>
  </si>
  <si>
    <t>ה. ביאורים (כרגיל)</t>
  </si>
  <si>
    <t>סיווג נכסים נטו</t>
  </si>
  <si>
    <t>ב. נכסים נטו שקיימת לגביהם הגבלה.</t>
  </si>
  <si>
    <t xml:space="preserve">א. נכסים נטו שלא קיימת לגביהם הגבלה (או לחילופין: גירעון מצטבר מפעילויות). </t>
  </si>
  <si>
    <t xml:space="preserve">סכומים שהתקבלו שהשימוש בהם מוגבל, מוצגים כגידול בנכסים נטו שקיימת לגביהם הגבלה ולא בדוח על הפעילויות. </t>
  </si>
  <si>
    <t>הם עוברים לדוח על הפעילויות כאשר מבוצע שחרור מהגבלה.</t>
  </si>
  <si>
    <t>תקציב</t>
  </si>
  <si>
    <t>מהות המלכ״ר היא להשתמש בתקציבו להגשמת יעדיו החברתיים / האחרים. השוואה לתקציב, לפיכך, עשויה לתרום</t>
  </si>
  <si>
    <t xml:space="preserve">מידע משמעותי לקוראי הדיווח. </t>
  </si>
  <si>
    <t>בהתאם לסעיפים 100 ו-101 לתקן, המלכ״ר יכול לכלול השוואה לתקציב אך יציין שמדובר במידע נלווה לא מבוקר.</t>
  </si>
  <si>
    <t>המלכ״ר יכול לבצע פיצול משנה של הנכסים נטו ללא הגבלה (לשימוש לפעילויות שלא יועדו, לשימוש לפעילויות שיועדו,</t>
  </si>
  <si>
    <t>ששימשו לרכוש קבוע) אך אין חובה לעשות כן.</t>
  </si>
  <si>
    <t>יאללה מדידה ברבאקקקק</t>
  </si>
  <si>
    <t>נדגים כעת מגוון סוגיות מדידה, האחת אחרי רעותה. אחרי שנסיים במפגשים הקרובים לדון בכל היבטי מדידה אלו,</t>
  </si>
  <si>
    <t>נפתור תרגיל שלם מתחילתו ועד סופו ובכך יקיץ הקץ על דיוננו המלכר״יסטי בקורס.</t>
  </si>
  <si>
    <t>אופן מדידת רכוש קבוע</t>
  </si>
  <si>
    <t>בואו, כולנו מכירים את IAS 16. ומדידת רכוש קבוע במלכ״ר היא לא באמת שונה.</t>
  </si>
  <si>
    <t xml:space="preserve">העניין הוא סיווגי טהור. </t>
  </si>
  <si>
    <t>עלייה בערך בספרים בגוף עסקי כתוצאה משערוך עקרונית לא יוצרת רווח (אלא עד לגובה ביטול הפסד שהוכר בעבר</t>
  </si>
  <si>
    <t>בלה בלה בלה) ובהקבלה למלכ״ר, עלייה זו תוכר בדוח על השינויים בנכסים נטו (במקום ברווח כולל אחר) ולא בדוח על</t>
  </si>
  <si>
    <t xml:space="preserve">הפעילויות (שהוא המקבילה לרווח והפסד). </t>
  </si>
  <si>
    <t>כמובן שאם מדובר במקרה שבו יש השפעה תוצאתית בישות עסקית, אז כן נזקוף לדוח על הפעילויות.</t>
  </si>
  <si>
    <t>כמו כן, אם מלכ״ר בוחר לבצע את פיצול המשנה של נכסים נטו ללא הגבלה (לשימוש לפעילויות שלא יועדו, לשימוש</t>
  </si>
  <si>
    <t>לפעילויות שיועדו, ששימשו לרכוש קבוע) נדרש לבצע מיון בנכסים נטו בגין שינויים שחלו ברכוש הקבוע כאמור.</t>
  </si>
  <si>
    <t>במלכ״ר ידוע כי ליום 31.12.2021 קיימת יתרת מזומן בסך 150,000 ש״ח.</t>
  </si>
  <si>
    <t>כמו כן ידוע כי יתרת הנכסים נטו ללא הגבלה לשימוש לפעילויות שלא יועדו היא בסכום זהה.</t>
  </si>
  <si>
    <t>בתחילת 2022 רכש המלכ״ר מכונה לחימום נקניק לנזקקים (המלכ״ר מפעיל בית תמחוי) תמורת 120,000 ש״ח.</t>
  </si>
  <si>
    <t xml:space="preserve">אורך החיים של מכונת הנקניק 5 שנים, והיא נמדדת לפי מודל העלות. </t>
  </si>
  <si>
    <t xml:space="preserve">השווי ההוגן של המכונה ליום 31.12.2022 הוא 100,000 ש״ח. </t>
  </si>
  <si>
    <t>המלכ״ר דואג לפצל את הנכסים נטו שלא קיימת לגביהם הגבלה לקטגוריות המקובלות: לשימוש לפעילויות שלא</t>
  </si>
  <si>
    <t xml:space="preserve">יועדו, לשימוש לפעילויות שיועדו, ששימשו לרכוש קבוע. </t>
  </si>
  <si>
    <t>נדרש:</t>
  </si>
  <si>
    <t>א. רשמו פקודות יומן למתן ביטוי בדיווחים לשנת 2022.</t>
  </si>
  <si>
    <t>ב. חשבו מחדש, אילו הרכוש הקבוע נמדד לפי מודל הערכה מחדש והמלכ״ר מאפס פחת נצבר בכל מועד שערוך.</t>
  </si>
  <si>
    <t>נדרש א</t>
  </si>
  <si>
    <t>רכישת ר"ק 1.1.22:</t>
  </si>
  <si>
    <t>ח' רכוש קבוע</t>
  </si>
  <si>
    <t>ז' מזומן</t>
  </si>
  <si>
    <t>מאחר והמלכר מפצל את הנ"נ ללא הגבלה, נוצרת בעיה כתוצאה מהפקודה כי אחרי הפקודה בצד הנכסים יש מזומן 30,000 ור"ק 120,000</t>
  </si>
  <si>
    <t>ואילו הנ"נ לא השתנו, כלומר עדיין רושמים נ"נ לשימוש לפע' שלא יועדו בסך 150,000. לכן יש להוסיף פקודת מיון בנ"נ שנקראת</t>
  </si>
  <si>
    <t>שחרור סכומים שהושקעו בנכסים קבועים, ונראה אותה בדוח על השינויים בנ"נ:</t>
  </si>
  <si>
    <t>ח' נ"נ ללא הגבלה - פע' שלא יועדו</t>
  </si>
  <si>
    <t>ז' נ"נ ללא הגבלה - שהושקעו בנכסים קבועים</t>
  </si>
  <si>
    <t>פחת:</t>
  </si>
  <si>
    <t>ח' הוצ' פחת</t>
  </si>
  <si>
    <t>של שחרור סכומים לכיסוי פחת:</t>
  </si>
  <si>
    <t>ח' נ"נ ללא הגבלה - שהושקעו בנכסים קבועים</t>
  </si>
  <si>
    <t>ז' נ"נ ללא הגבלה - פע' שלא יועדו</t>
  </si>
  <si>
    <t>השפעה על דוחות כספיים לשנת 2022</t>
  </si>
  <si>
    <t>דוח על הפעילויות - הוצ' פחת</t>
  </si>
  <si>
    <t>רכוש קבוע נטו</t>
  </si>
  <si>
    <t>נ"נ ללא הגבלה - פע' שלא יועדו</t>
  </si>
  <si>
    <t>מזומן</t>
  </si>
  <si>
    <t>נ"נ ללא הגבלה - שהושקעו בנכסים קבועים</t>
  </si>
  <si>
    <t>שהושקעו</t>
  </si>
  <si>
    <t>שלא יועדו</t>
  </si>
  <si>
    <t>בנכסים קבועים</t>
  </si>
  <si>
    <t>יתרה ליום 31.12.21</t>
  </si>
  <si>
    <t>שחרור מפעילות לנכסים קבועים</t>
  </si>
  <si>
    <t>השורה התחתונה של דוח על פעילויות</t>
  </si>
  <si>
    <t>יתרה ליום 31.12.22</t>
  </si>
  <si>
    <t>נדרש ב'</t>
  </si>
  <si>
    <t>ע. מופחתת</t>
  </si>
  <si>
    <t xml:space="preserve">120,000/5 = </t>
  </si>
  <si>
    <t>מזומנים המוגבלים להשקעה ברכישת רכוש קבוע</t>
  </si>
  <si>
    <t>אם התורם או התורמת הגבילו את תרומתם להשקעה ברכוש קבוע, הרי שלא נכלול את הסכום במסגרת מזומנים ושווי</t>
  </si>
  <si>
    <t xml:space="preserve">מזומנים אלא במסגרת סעיף נפרד ברכוש הקבוע (או בנדל״ן להשקעה או הנכס הלא שוטף האחר) בסעיף שייקרא </t>
  </si>
  <si>
    <t xml:space="preserve">בהתאם ״מזומנים והשקעות אחרות המוגבלים להשקעה ברכוש קבוע״ (או בסעיף אחר מתאים). </t>
  </si>
  <si>
    <t xml:space="preserve">מדוע זה הגיוני? בואו נחשוב ביחד. מה המטרה של המלכ״ר? במה זה שונה מחברה עסקית? ולאור זאת, מדוע זה </t>
  </si>
  <si>
    <t>הטיפול?</t>
  </si>
  <si>
    <t>יצירות אומנות, נכסים היסטוריים ונכסים דומים</t>
  </si>
  <si>
    <t>יצירות אומנות, נכסים היסטוריים ונכסים דומים שאינם מוחזקים למטרות תצוגה לקהל, אינם דורשים טיפול ואינם</t>
  </si>
  <si>
    <t>כפופים למדיניות ארגונית הדורשת שימוש בתמורת המימוש להחלפה או תחזוקה של פריטים אלו, הן בגדר נכס.</t>
  </si>
  <si>
    <t>כאשר היצירות אינן מוכרות כנכס לאור גורמים אלו, הן נקראות ״אוסף״, והוא מאד נפוץ במוזיאונים (כגון מוזיאון</t>
  </si>
  <si>
    <t xml:space="preserve">הנקניקים העולמי). </t>
  </si>
  <si>
    <t>כאשר מדובר ביצירות אומנות שהן חלק מאוסף, הרי שניתן ליישם לגביהן את אחד מבין 3 העקרונות הבאים:</t>
  </si>
  <si>
    <t>א. הכרה בכל הפריטים שנרכשו או שנתרמו למלכ״ר כנכסים.</t>
  </si>
  <si>
    <t>ב. הכרה בכל הפריטים שנרכשו או נתרמו למלכ״ר החל ממועד שיוגדר על ידי המלכ״ר כנכסים.</t>
  </si>
  <si>
    <t>ג. מתן גילוי בלבד בדבר יצירות אלו המתווספות לאוסף.</t>
  </si>
  <si>
    <t>אם נבחרו חלופות ב או ג, אין ליישם מודל הערכה מחדש. כמו כן, בדוח על הפעילויות יש להכיר בסעיפים נפרדים ב:</t>
  </si>
  <si>
    <t>א. עלות פריטי אוספים שנרכשו</t>
  </si>
  <si>
    <t>ב. תמורה ממימוש פריטי אוספים שלא הוכרו</t>
  </si>
  <si>
    <t xml:space="preserve">ג. שיפוי מחברות ביטוח בגין פריטי אוספים (שלא הוכרו) שאבדו או ניזוקו. </t>
  </si>
  <si>
    <t>הטבות עובד</t>
  </si>
  <si>
    <t>אופן הטיפול בהטבות עובד דומה מאד למקובל ב - IAS 19 שטרם למדתם. אם תאכלו אותה תלמדו על IAS 19 עמי</t>
  </si>
  <si>
    <t>בקורס ייעודי בנושא.</t>
  </si>
  <si>
    <t>בשנת 2023:</t>
  </si>
  <si>
    <t>ואחריות תקציבית: האם המלכ״ר אכן משתמש כהלכה במשאביו לקידום מטרותיו.</t>
  </si>
  <si>
    <t>הנכסים נטו הם נכסים בניכוי התחייבויות; ואינם נקראים הון עצמי במלכ״ר!</t>
  </si>
  <si>
    <r>
      <t xml:space="preserve">להיות מושפע </t>
    </r>
    <r>
      <rPr>
        <b/>
        <sz val="12"/>
        <color theme="1"/>
        <rFont val="David"/>
      </rPr>
      <t>מהגבלות</t>
    </r>
    <r>
      <rPr>
        <sz val="12"/>
        <color theme="1"/>
        <rFont val="David"/>
      </rPr>
      <t xml:space="preserve"> של תורמים או הגבלות אחרות. </t>
    </r>
  </si>
  <si>
    <t>בשונה מעסק רגיל, למטרת רווח - האמצעים הכספיים העומדים לרשות המלכ״ר משרתים אותו לפעילויותיו באופן שעשוי</t>
  </si>
  <si>
    <t>לכן לא ניתן לכלול את הנכסים נטו באופן מצרפי אלא חובה לחלקם ל-2 קטגוריות:</t>
  </si>
  <si>
    <t>פיצול מחייב:</t>
  </si>
  <si>
    <t>פיצול וולונטרי:</t>
  </si>
  <si>
    <t>לשימוש</t>
  </si>
  <si>
    <t>לפעילויות</t>
  </si>
  <si>
    <t>לא יועדו</t>
  </si>
  <si>
    <t>שיועדו</t>
  </si>
  <si>
    <t>ששימשו</t>
  </si>
  <si>
    <t>לרכוש</t>
  </si>
  <si>
    <t>קבוע</t>
  </si>
  <si>
    <t>נכסים</t>
  </si>
  <si>
    <t>נכסים נטו</t>
  </si>
  <si>
    <t>נ״נ ללא הגבלה לשימוש לפעילויות שלא יועדו</t>
  </si>
  <si>
    <t>מכונת נקניק</t>
  </si>
  <si>
    <t>נ״נ ללא הגבלה - שהושקעו בנכסים קבועים</t>
  </si>
  <si>
    <t>מאזן</t>
  </si>
  <si>
    <t xml:space="preserve">לאחר </t>
  </si>
  <si>
    <t>הפעולה</t>
  </si>
  <si>
    <t xml:space="preserve">על פי נתוני השאלה, הרכישה בתחילת שנה 1.1, הפחת הוא על 5 שנים, המודל הוא העלות ללא ערך שייר / גרט. </t>
  </si>
  <si>
    <t xml:space="preserve">120,000 - 24,000 = </t>
  </si>
  <si>
    <t>הון עצמי / נכסים נטו</t>
  </si>
  <si>
    <t>דוח על המצב הכספי ליום 31.12.2022</t>
  </si>
  <si>
    <t>דוח על השינויים בנכסים נטו (נ״נ)</t>
  </si>
  <si>
    <r>
      <t xml:space="preserve">נכסים נטו (נ״נ) </t>
    </r>
    <r>
      <rPr>
        <b/>
        <sz val="12"/>
        <color theme="3"/>
        <rFont val="David"/>
      </rPr>
      <t>ללא הגבלה</t>
    </r>
  </si>
  <si>
    <t>לשימוש לפעילויות</t>
  </si>
  <si>
    <t>גירעון שנתי (עודף הוצאות על הכנסות)</t>
  </si>
  <si>
    <t>שחרור מפעילות לפחת (העברה)</t>
  </si>
  <si>
    <t>בלעדי העברה זו, ערכי הנכסים עדיין היו תקינים, אבל תמהיל הנ״נ לא</t>
  </si>
  <si>
    <t>לטובת פתרון סעיף זה יש להניח שהחברה מיישמת את מודל הערכה מחדש, בתדירות שנתית, וכי השווי ההוגן לתום 2022 הוא 100,000 ש״ח.</t>
  </si>
  <si>
    <t>בתום השנה, בבואנו לבחון את הפער בין השווי ההוגן לבין העלות המופחתת ערב השערוך:</t>
  </si>
  <si>
    <t xml:space="preserve">120,000 - 120,000 / 5 = </t>
  </si>
  <si>
    <t>הואיל ומדובר במלכ״ר. - אין קרן הערכה מחדש. העליה נזקפת ישירות לנ"נ שהושקעו בנכסים קבועים</t>
  </si>
  <si>
    <t>ח׳ פחנ״צ</t>
  </si>
  <si>
    <t>ז׳ מכונה לחימום נקניק (ר״ק)</t>
  </si>
  <si>
    <t>פקודה לאיפוס פחת נצבר:</t>
  </si>
  <si>
    <t>פקודה לרישום זקיפה לנ״נ שהושקעו בנכסים קבועים (חלף קרן הערכה מחדש):</t>
  </si>
  <si>
    <t>ז׳ נ״נ לא מוגבלים ששימשו לרכוש קבוע</t>
  </si>
  <si>
    <t>לא מופיע בדוח על הפעילויות אלא בדוח על השינויים בנ״נ</t>
  </si>
  <si>
    <t>עלייה בנכסים נטו</t>
  </si>
  <si>
    <t>עלייה ברכוש הקבוע נטו</t>
  </si>
  <si>
    <t>המאזן 31.12.2022</t>
  </si>
  <si>
    <t>עליית ערך כתוצאה משערוך</t>
  </si>
  <si>
    <t>במלכ״ר כדאי לדון בהכנסות - בתור תרומות או העברות חד צדדיות.</t>
  </si>
  <si>
    <r>
      <t xml:space="preserve">א. במסגרת תקן 40 תרומה מוגדרת כהעברה </t>
    </r>
    <r>
      <rPr>
        <b/>
        <sz val="12"/>
        <color theme="1"/>
        <rFont val="David"/>
      </rPr>
      <t>שאיננה מותנית</t>
    </r>
    <r>
      <rPr>
        <sz val="12"/>
        <color theme="1"/>
        <rFont val="David"/>
      </rPr>
      <t xml:space="preserve"> למלכ״ר של מזומן או נכסים אחרים כמו גם הבטחות </t>
    </r>
  </si>
  <si>
    <t xml:space="preserve">בלתי מותנות או יישוב או ביטול של התחייבויות המלכ״ר בהעברה חד צדדית מרצון על ידי ישות אחרת שלא </t>
  </si>
  <si>
    <t>במעמדה כבעלים.</t>
  </si>
  <si>
    <t xml:space="preserve">בגסות: כשמבוצעת תרומה כהגדרתה, נצפה שהיא לא כוללת איזושהי מחויבות מצד המלכ״ר הנתרם לספק </t>
  </si>
  <si>
    <t xml:space="preserve">תמורה (ערך נגדי) לתורם בגין העברה זו. </t>
  </si>
  <si>
    <t xml:space="preserve">תרומות שהתקבלו יוכרו כהכנסות או כתוספת לנכסים נטו שקיימת לגביהם הגבלה בתקופה שבה התקבלו. </t>
  </si>
  <si>
    <t>תרומה שניתנה והתרומה המקבילה שהתקבלה מוכרות בדרך כלל על ידי התורם ועל ידי הנתרם באותו מועד, כלומר</t>
  </si>
  <si>
    <t xml:space="preserve">כאשר התרומה בוצעה או התקבלה. </t>
  </si>
  <si>
    <t>פקודת יומן לדוגמא לקבלת תרומה שאיננה מוגבלת בייעודה:</t>
  </si>
  <si>
    <t>ח׳ מזומן</t>
  </si>
  <si>
    <t>ז׳ הכנסות מתרומות</t>
  </si>
  <si>
    <t>פקודת יומן לדוגמא לקבלת תרומה המוגבלת בייעודה:</t>
  </si>
  <si>
    <t>ז׳ נכסים נטו שקיימת לגביהם הגבלה</t>
  </si>
  <si>
    <t xml:space="preserve">ב. הדגש נוסף לגבי הכנסות קשור לעניין ״שחרור מנכסים שקיימת לגביהם הגבלה״ = </t>
  </si>
  <si>
    <t>להקטנת הנכסים נטו שקיימת לגביהם הגבלה.</t>
  </si>
  <si>
    <t>ח׳ נכסים נטו שקיימת לגביהם הגבלה</t>
  </si>
  <si>
    <t>ז׳ הכנסות שחרור מנכסים נטו שהוגבלו</t>
  </si>
  <si>
    <t>עמותת ״הנקניק השומרוני״ קיבלה בתאריך 1.4.2022 סכום של 80,000 ש״ח לצורך מימון נקניקיות לסטודנטים</t>
  </si>
  <si>
    <t xml:space="preserve">בתאריך 1.7.2022 העמותה חילקה נקניקים ונקניקיות בסך 95,000 ש״ח. </t>
  </si>
  <si>
    <t>קבלת התרומה</t>
  </si>
  <si>
    <t>ח׳ הוצאות בגין נקניק / מזון לסטודנטים</t>
  </si>
  <si>
    <t>ז׳ מזומן</t>
  </si>
  <si>
    <t>פקודת מיון:</t>
  </si>
  <si>
    <t>ז׳ הכנסות משחרור נכסים נטו שהוגבלו</t>
  </si>
  <si>
    <t xml:space="preserve">שימו לב: פקודת המיון שונה מזו שנרשמה בגין הוצאות פחת בשאלה 1. </t>
  </si>
  <si>
    <t>מדוע?</t>
  </si>
  <si>
    <t xml:space="preserve">כאשר רשמנו פחת, כמובן שלא היה מקום להכיר בהכנסה. </t>
  </si>
  <si>
    <t xml:space="preserve">לכן את ההשפעה שנוצרה על נכסים נטו לא מוגבלים שלא יועדו, סתרנו דרך הקטנה ישירה </t>
  </si>
  <si>
    <t>של נכסים נטו ששימשו לרכוש קבוע.</t>
  </si>
  <si>
    <t>לעומת זאת: כאשר מדובר באקט המשקף הגשמת תנאים המזכים ביכולת לממש תמורה</t>
  </si>
  <si>
    <t>מוגבלת שהתקבלה, נכיר בהכנסה באופן ישיר, כמובן שתבוצע זקיפה לדוח על הפעילויות</t>
  </si>
  <si>
    <t xml:space="preserve">שבעקיפין תיזקף לנכסים נטו לא מוגבלים שלא יועדו. </t>
  </si>
  <si>
    <t>שאלה 2 - הגבלות ושחרור - תרומה מוגבלת למטרה ספציפית, הגשמת המטרה וסיווגים</t>
  </si>
  <si>
    <t>תרומה מותנית</t>
  </si>
  <si>
    <t xml:space="preserve">עליו לפני שהמלכ״ר המקבל יהיה זכאי בכלל לנכסים שהועברו. </t>
  </si>
  <si>
    <t xml:space="preserve">אי התגברות על החסם / התנאי נותנת לתורם זכות לקבל חזרה את הנכסים. </t>
  </si>
  <si>
    <t xml:space="preserve">לרוב, ההסכם עם התורם צריך להעיד על קיומה של ההתניה שהוטלה. </t>
  </si>
  <si>
    <t>אם אין סימן ברור שהמלכ״ר יהיה זכאי לנכסים שהועברו או שיועברו רק אם התגבר על החסם, יש לראות בתרומה</t>
  </si>
  <si>
    <t xml:space="preserve">כבלתי מותנית. </t>
  </si>
  <si>
    <t>התקן מבחין בין ״חסם״ כאמור לבין הגבלות שהוטלו על ידי התורם לגבי השימוש בתרומה שהוא ספציפי יותר</t>
  </si>
  <si>
    <t xml:space="preserve">מאשר ההגבלות הכלליות הנובעות מאופן פעילות המלכ״ר וסביבתו. </t>
  </si>
  <si>
    <t>*</t>
  </si>
  <si>
    <t>חסם הקשור לביצועים הניתנים למדידה - כלומר נדרשת רמה מוגדרת של שירות, מספר מוגדר</t>
  </si>
  <si>
    <t>של יחידות תפוקה, התרחשות אירוע מוגדר וכו׳, בדרך כלל - תוך פרק זמן מסוים.</t>
  </si>
  <si>
    <t>**</t>
  </si>
  <si>
    <t>שיקול דעת מוגבל של המלכ״ר בדבר אופן ניהול הפעולות - כגון, דרישה להעסקת יחידים</t>
  </si>
  <si>
    <t>מסוימים כחלק מכוח העבודה המנהל את הפעילות או דרישות לפעול לפי פרוטוקול ספציפי.</t>
  </si>
  <si>
    <t>***</t>
  </si>
  <si>
    <t>תנאים הקשורים למטרת ההסכם - תנאים שאינם מנהלתיים כגון דרישה למלכ״ר המפעיל מקלט</t>
  </si>
  <si>
    <t xml:space="preserve">לבעלי חיים להרחיב אותו. </t>
  </si>
  <si>
    <t>העברה של נכסים שהיא תרומה מותנית מטופלת כמקדמה הניתנת להחזר עד שהתנאים קוימו למעשה או שהתורם</t>
  </si>
  <si>
    <t>כאשר המלכ״ר התגבר על החסם, התרומות יוכרו כהכנסה או כתוספת לנכסים נטו שקיימת לגביהם הגבלה.</t>
  </si>
  <si>
    <t>מקרה א:</t>
  </si>
  <si>
    <t>קרן מעניקה למלכ״ר מענק בסכום של 400,000 ש״ח על מנת לספק שירותי הכשרה בתחום חימום הנקניק לחיילים</t>
  </si>
  <si>
    <t>משוחררים. המענק דורש מהמלכ״ר לספק הדרכה ל-8,000 חיילים לפחות במהלך 2023, עם יעדי מינימום רבעוניים</t>
  </si>
  <si>
    <t>של 2,000 חיילים שיהפכו לתותחי חימום נקניק בכל רבעון.</t>
  </si>
  <si>
    <t xml:space="preserve">בהתאם להסכם המענק, לקרן יש זכות לשחרור ממחויבות והקרן מתחייבת לתת למלכ״ר 100,000 ש״ח בכל רבעון </t>
  </si>
  <si>
    <t xml:space="preserve">אם המלכ״ר יוכיח שהשירותים שסופקו מאפשרים ל-2,000 חיילים לפחות להפוך למומחים בתחום חימום הנקניק </t>
  </si>
  <si>
    <t xml:space="preserve">במהלך הרבעון. </t>
  </si>
  <si>
    <t>דוגמאות לתרומות מותנות לסוגיהן</t>
  </si>
  <si>
    <t>מקרה ב:</t>
  </si>
  <si>
    <t>מענקים ממשלתית על מנת לממן מחקר לשיקום נקניקים רקובים. תנאי המענק קובעים שלמלכ״ר חייבות להיצבר</t>
  </si>
  <si>
    <t>הוצאות כשירות מסוימות בציות לחוקים ולתקנות שנקבעו על ידי משרד הבריאות. המענק משולם על בסיס</t>
  </si>
  <si>
    <t>החזר עלויות על ידי משיכה של כספי המענק על ידי המלכ״ר, כאשר כספים שלא נעשה בהם שימוש בהתאם לתנאי</t>
  </si>
  <si>
    <t xml:space="preserve">מותרות ובשגינן משך המלכ״ר מכספי המענק. </t>
  </si>
  <si>
    <t>דוגמאות לתרומות שאינן מותנות</t>
  </si>
  <si>
    <t xml:space="preserve">מלכ״ר שהוא בית חולים לשיקום נקניק, מקבל מקדמה במזומן על חשבון תרומה מיחיד על מנת לבצע מחקר </t>
  </si>
  <si>
    <t>הקשור להרעלות מצריכת נקניק מופרזת, במהלך השנה הבאה. ההסכם איננו כולל זכות לקבל חזרה את המקדמה או</t>
  </si>
  <si>
    <t xml:space="preserve">חסם שיש להתגבר עליו על מנת שהמלכ״ר יהיה זכאי לכספים. </t>
  </si>
  <si>
    <t>שוהם תורמת למלכ״ר המחלק נקניק בפיתה לנזקקים סכום של 400,000 ש״ח. ההסכם כולל הנחיות ספציפיות</t>
  </si>
  <si>
    <t>לגבי האופן שבו רצוי לחמם את הנקניק, ריכוז המוקדים שבהם נמצאים צרכני הנקניק הנזקקים וכו׳, ויחד עם זאת,</t>
  </si>
  <si>
    <t>יחמם את הנקניק לפי ההמלצות. ההסכם כן כולל זכות לקבל חזרה את הכספים שהחברה תחליט שלא להקצות</t>
  </si>
  <si>
    <t xml:space="preserve">לחימום הנקניק. </t>
  </si>
  <si>
    <t>מעוניינת שוהם להעניק גמישות למלכ״ר בניהול הכספים, והזכאות למענק איננה מותנית בכך שהמלכ״ר אכן</t>
  </si>
  <si>
    <t>הבטחות</t>
  </si>
  <si>
    <t>הבטחה כוללת זכויות ומחויבויות כאשר למקבל של הבטחה יש זכות לצפות שהנכסים המובטחים יועברו בעתיד,</t>
  </si>
  <si>
    <t>ולנותן ההבטחה יש מחויבות משפטית לבצע את ההעברה שהובטחה.</t>
  </si>
  <si>
    <t xml:space="preserve">הבטחה יכולה להיות מותנית או בלתי מותנית. </t>
  </si>
  <si>
    <t>הבטחה בלתי מותנית היא הבטחה המותנית רק בדרישת המלכ״ר או בחלוף הזמן. הבטחה מותנית היא כזו הכפופה</t>
  </si>
  <si>
    <t xml:space="preserve">להתניה שהטיל תורם. </t>
  </si>
  <si>
    <t>הבטחה בלתי מותנית תוכר כהכנסות (אם אין הגבלה) או כתוספת לנכסים נטו שקיימת לגביהם הגבלה בתקופה</t>
  </si>
  <si>
    <t xml:space="preserve">שבה התקבלה ההבטחה, בתנאי שקיימות ראיות מספיקות בצורת תיעוד ניתן לאימות שניתנה הבטחה וקיימת </t>
  </si>
  <si>
    <t>יכולת אכיפה משפטית של ההבטחה.</t>
  </si>
  <si>
    <t>הגבלה ויוכרו כהכנסות באותן תקופות עתידיות אלא אם כן, תנאים מפורשים של התורם או נסיבות קבלת ההבטחה</t>
  </si>
  <si>
    <t xml:space="preserve">מבהירים שהתורם התכוון שהתרומה תשמש לתמיכה בפעילויות של התקופה השוטפת. </t>
  </si>
  <si>
    <t>סביר להניח שעל ידי קביעת מועדי פירעון עתידיים התורם מייעד את התרומות שלו לתמוך הפעילות בתקופות עתידיות.</t>
  </si>
  <si>
    <t>הבטחה מותנית אשר כוללת התניות שהוטלו על ידי התורם אשר מייצגות הן חסם שיש להתגבר עליו והן זכות לשחרור</t>
  </si>
  <si>
    <t xml:space="preserve">מהמחויבות, תוכר כאשר ההתניות שבהן היא תלויה מתקיימות למעשה - כלומר, כאשר ההבטחה המותנית הופכת </t>
  </si>
  <si>
    <t>לבלתי מותנית.</t>
  </si>
  <si>
    <t>התקן דורש לתת גילוי ביחס לסכום של הבטחות בלתי מותנות לתאריך הדיווח, תוך חלוקה בין הבטחות שנפרעו עד</t>
  </si>
  <si>
    <t>מועד אישור הדיווח לבין הבטחות שטרם נפרעו (אותן יש לחלק לקבוצות לפי מועדי פירעון - עד שנה מתאריך</t>
  </si>
  <si>
    <t>הדיווח, בין שנה ל-5 שנים ומעל 5 שנים). כמו כן, יש לתת גילוי על הפרשה לחובות מסופקים בין הבטחות בלתי מותנות,</t>
  </si>
  <si>
    <t>וכן על סכומים של הבטחות מותנות תוך הצגה בנפרד של סוגים שונים של התניות.</t>
  </si>
  <si>
    <t>שאלה 3א</t>
  </si>
  <si>
    <t>תורם חתם בשנת 2022 על הסכם בכתב לפיו הבטיח להעביר למלכ״ר תרומה בסך 100,000 ש״ח במזומן</t>
  </si>
  <si>
    <t xml:space="preserve">לפעילות השוטפת של המלכ״ר. המזומן התקבל בשנת 2023. </t>
  </si>
  <si>
    <t>נדרש: תעדו את העסקה בשנים 2022 / 2023.</t>
  </si>
  <si>
    <t>פתרון 3א</t>
  </si>
  <si>
    <t xml:space="preserve">אין כאן שום התניה מצדו של התורם, ובהתאם, יש להכיר בהכנסה באופן מיידי. </t>
  </si>
  <si>
    <t>ח׳ חייבים</t>
  </si>
  <si>
    <t>ז׳ הכנסות מתרומה</t>
  </si>
  <si>
    <t>לכאורה נשאלת השאלה - מדוע זיכינו הכנסות מתרומה ולא ישירות את הסעיף ״נכסים נטו לא מוגבלים שלא יועדו״.</t>
  </si>
  <si>
    <t>התשובה היא שהיתה פה פעילות אמיתית של גיוס תרומה; לא מדובר בסוג של קיזוז / העברה בין חשבונות לאור</t>
  </si>
  <si>
    <t xml:space="preserve">שינוי בדפוס השימושים. אני רוצה להציג בדוח על הפעילויות שגוייס כאן כסף. </t>
  </si>
  <si>
    <t>כמובן, שבדוחות הכספיים לתום 2022, הרי שההכנסות מתרומות משפיעות בסימן חיובי על הדוח על השינויים</t>
  </si>
  <si>
    <t>בנכסים נטו הלא מוגבלים שלא יועדו; אלא שזקיפה ישירה לשם מחמיצה את המטרה של מתן גילוי לפעילות ההתרמה.</t>
  </si>
  <si>
    <r>
      <t>פקודת היומן ב-</t>
    </r>
    <r>
      <rPr>
        <b/>
        <sz val="12"/>
        <color theme="1"/>
        <rFont val="David"/>
      </rPr>
      <t>2022</t>
    </r>
    <r>
      <rPr>
        <sz val="12"/>
        <color theme="1"/>
        <rFont val="David"/>
      </rPr>
      <t>:</t>
    </r>
  </si>
  <si>
    <t>פקודת היומן ב-2023:</t>
  </si>
  <si>
    <t>ז׳ חייבים</t>
  </si>
  <si>
    <t>שאלה 3ב</t>
  </si>
  <si>
    <t>תורם חתם בשנת 2022 על הסכם עם מלכ״ר לפיו התחייב להעביר אליו 100,000 ש״ח במזומן בכל אחת מהשנים 2023</t>
  </si>
  <si>
    <t xml:space="preserve">ו-2024. בשנת 2023 הועברו 100,000 ש״ח. </t>
  </si>
  <si>
    <t xml:space="preserve">הבטחות בלתי מותנות עם מועדי פירעון בתקופות עתידיות יוכרו כתוספת לנכסים נטו שקיימת לגביהם </t>
  </si>
  <si>
    <t>פתרון 3ב</t>
  </si>
  <si>
    <t>לפי התקן, כאשר אני מזהה הבטחה לכאורה בלתי מותנית להעברת כספים חד צדדית בפריסה למועדי פירעון עתידיים,</t>
  </si>
  <si>
    <t>התפיסה היא שהתורם מנסה ״להגביל״ את עיתוי השימוש בכספים, ומשום כך, ההבטחה לא תוכר כהכנסה במועד</t>
  </si>
  <si>
    <t xml:space="preserve">חתימת ההסכם / תוקף ההבטחה, אלא בתקופות העתידיות שבהן יתקבלו הסכומים. </t>
  </si>
  <si>
    <t>בשנת 2022:</t>
  </si>
  <si>
    <t xml:space="preserve">ח׳ מזומן </t>
  </si>
  <si>
    <t>ז׳ הכנסה מתרומה / שחרור מהגבלה</t>
  </si>
  <si>
    <t>שאלה 3ג</t>
  </si>
  <si>
    <t>ביום 1.12.2022 חתם תורם על הסכם בכתב לפיו הבטיח למלכ״ר לתרום 1 ש״ח לרכש נקניק לנזקקים על כל 1 ש״ח</t>
  </si>
  <si>
    <t>המלכ״ר הצליח להשיג תרומות בסך 30,000 ש״ח במהלך 3 החודשים הראשונים של שנת 2023 ועוד 40,000 ש״ח</t>
  </si>
  <si>
    <t>פתרון 3ג</t>
  </si>
  <si>
    <t>האם קיימת התניה או לא?</t>
  </si>
  <si>
    <t xml:space="preserve">קיימת התניה. אם קיימת התניה, לא ניתן להכיר בהכנסה עד קיום התנאי. </t>
  </si>
  <si>
    <t xml:space="preserve">לכן, לא יבוצע רישום חשבונאי בגין האירוע בשנת 2022 (אין הכרה בתרומה לאור היותה מותנית). </t>
  </si>
  <si>
    <t>במהלך שלושת החודשים הבאים של שנת 2023 ובהתאם, התורם העביר למלכ״ר במחצית השניה של 2023 סך 70,000 ש״ח.</t>
  </si>
  <si>
    <t>רק בשנת 2023 ניתן להכיר בתרומה המוגבלת:</t>
  </si>
  <si>
    <t>לפי 70,000 של התרומה החיצונית יחד עם 70,000 שבהבטחה</t>
  </si>
  <si>
    <t>ז׳ נכסים נטו מוגבלים</t>
  </si>
  <si>
    <r>
      <t xml:space="preserve">תרומה שיקבל המלכ״ר מתורמים אחרים </t>
    </r>
    <r>
      <rPr>
        <b/>
        <sz val="12"/>
        <color theme="1"/>
        <rFont val="David"/>
      </rPr>
      <t>למטרה זו</t>
    </r>
    <r>
      <rPr>
        <sz val="12"/>
        <color theme="1"/>
        <rFont val="David"/>
      </rPr>
      <t xml:space="preserve"> וזאת עד לגובה של 100,000 ש״ח במהלך 6 החודשים הראשונים של שנת 2023.</t>
    </r>
  </si>
  <si>
    <t>שאלה 3ד</t>
  </si>
  <si>
    <t xml:space="preserve">הטיקטוקר האגדי ירין חתם ב-1.12.2022 על הסכום בכתב לפיו הבטיח לתרום למלכ״ר 4 ש״ח על כל 1 ש״ח </t>
  </si>
  <si>
    <t>תעדו את האירוע בשנים 2022 ו-2023.</t>
  </si>
  <si>
    <t xml:space="preserve">תרומה שיקבל המלכ״ר מתורמים אחרים. ההסכם מבטיח קבלת הסכום מירין עד לגובה מירבי של 240,000 ש״ח </t>
  </si>
  <si>
    <t xml:space="preserve">במהלך 9 החודשים הראשונים של שנת 2023. </t>
  </si>
  <si>
    <t>פתרון שאלה 3ד</t>
  </si>
  <si>
    <t>אין תיעוד.</t>
  </si>
  <si>
    <t>סכום שגייס עידו:</t>
  </si>
  <si>
    <t>תוספת ״תיאורטית״ ירין:</t>
  </si>
  <si>
    <t>תקרת תרומת ירין:</t>
  </si>
  <si>
    <t>סך התרומה:</t>
  </si>
  <si>
    <t xml:space="preserve">140,000 + 240,000 = </t>
  </si>
  <si>
    <t>שאלה 3ה</t>
  </si>
  <si>
    <t>ביום 30.6.2022 ליר נותן למלכ״ר הבטחה בכתב לתרום 1 מיליון ש״ח רק אם המלכ״ר יגייס 1 מיליון ש״ח</t>
  </si>
  <si>
    <t>או יותר של תרומות עד 30.6.2023. עד ל-31.12.2022 המלכ״ר גייס בלחץ רב 800,000 ש״ח ועד ליום 28.2.2023</t>
  </si>
  <si>
    <t xml:space="preserve">לאחר מאמצים כבירים של המלכ״ר הוא גייס עוד 200,000 ש״ח. </t>
  </si>
  <si>
    <t xml:space="preserve">הדוחות הכספיים של המלכ״ר ליום 31.12.2022 אושרו לפרסום ביום 31.3.2023. </t>
  </si>
  <si>
    <t>פתרון שאלה 3ה</t>
  </si>
  <si>
    <t>לגבי שנת 2022 - אין ספק, שהתרומה שגויסה בסך 800,000 ש״ח באופן בלתי מוגבל תירשם כהכנסה.</t>
  </si>
  <si>
    <t>ללא תלות בציפיות החברה והצהרותיה לתום 2022 בדבר ההסתברות לגיוס הכספים הנוספים על מנת להגיע</t>
  </si>
  <si>
    <t>לרף של 1 מיליון ש״ח שיצדיק הכרה בסכום של ליר - כל עוד הסכום הנוסף טרם גויס, לא נוכל להכיר בקיום</t>
  </si>
  <si>
    <t>ההתניה, ולכן ב-2022 בדיווחים הכספיים לא יוכר הגיוס מליר. נקודה.</t>
  </si>
  <si>
    <t>לכן, ב-2022:</t>
  </si>
  <si>
    <t>ב-2023:</t>
  </si>
  <si>
    <t>שאלה 3ו</t>
  </si>
  <si>
    <t>ביום 30.6.2022 יואלה מעניקה בכתב הבטחה למלכ״ר ״נקניקי הכפר״ לתרום 1,000,000 ש״ח אם המלכ״ר יגייס</t>
  </si>
  <si>
    <t xml:space="preserve">סכום זהה או יותר כתרומות באירוע התרמה ב-31.12.2022. </t>
  </si>
  <si>
    <t xml:space="preserve">האירוע אכן התקיים במועד זה, אבל איסוף ביצוע הרישומים וריכוז התרומות בוצע רק ב-15.1.2023. </t>
  </si>
  <si>
    <t>בהתאם, התגלה במועד זה כי הסכום הכולל שנאסף היה 3 מ׳ ש״ח. הדוחות הכספיים של המלכ״ר ליום 31.12.2022</t>
  </si>
  <si>
    <t xml:space="preserve">אושרו לפרסום ב-31.3.2023. </t>
  </si>
  <si>
    <t>פתרון שאלה 3ו</t>
  </si>
  <si>
    <t xml:space="preserve">שאלה זו דומה מאד לקודמת; בהבדל מרכזי אחד: </t>
  </si>
  <si>
    <t xml:space="preserve">הפעם, האירוע ליגוס התרומה שתזכה בהבטחה התקיים במלואו כבר בתאריך הדיווח 31.12.2022. </t>
  </si>
  <si>
    <t>המידע המתייחס לאירוע זה אשר נתגלה רק ב-15.1.2023 מהווה אירוע ״מחייב התאמה״ בהקשר זה, בשונה</t>
  </si>
  <si>
    <t xml:space="preserve">מהמקרה הקודם, ולכן - בדוחות 2022 בהחלט תוכר התרומה באופן מלא. </t>
  </si>
  <si>
    <t>שנת 2022:</t>
  </si>
  <si>
    <t>שנת 2023:</t>
  </si>
  <si>
    <t>שאלה 3ז</t>
  </si>
  <si>
    <t>בשנת 2022 משה הודיע למלכ״ר שבמסגרת צוואתו הוריש למלכ״ר סכום כסף, וכן הוא העביר באותה שנה למלכ״ר</t>
  </si>
  <si>
    <t xml:space="preserve">את הצוואה. </t>
  </si>
  <si>
    <t xml:space="preserve">ב-30.6.2023 נפטר משה. </t>
  </si>
  <si>
    <t>לאחר כ-3 חודשים הצוואה אושרה בבית משפט והמלכ״ר קיבל הודעה שהוא זכאי ל-400,000 ש״ח.</t>
  </si>
  <si>
    <t>פתרון 3ז</t>
  </si>
  <si>
    <t xml:space="preserve">התאריך המצדיק הכרה הוא </t>
  </si>
  <si>
    <t>תאריך אישור הצוואה לאחר פטירה.</t>
  </si>
  <si>
    <t>לפיכך אין להכיר בשנה זו באירוע כלשהו</t>
  </si>
  <si>
    <t>ח׳ חייבים / מזומן</t>
  </si>
  <si>
    <t>סוגיות מדידה א - הרצאה 7  - מלכר״ים</t>
  </si>
  <si>
    <t>כאשר הנכס מוכן לשימוש המיועד. ואם המלכ״ר מפריד את הנכסים נטו ללא הגבלה, אז במקביל תבוצע</t>
  </si>
  <si>
    <t>בדוח על השינויים בנכסים נטו העברה:</t>
  </si>
  <si>
    <t>וזאת בגובה ההכנסות שהוכרו בדוח על הפעילויות.</t>
  </si>
  <si>
    <t>הגבלה, ויוכר כהכנסות בסעיף נפרד בדוח על הפעילויות לאורך תקופת השימוש שהוגדרה על ידי התורם</t>
  </si>
  <si>
    <t>החל מהמועד שבו הנכס מוכן לשימושו המיועד.</t>
  </si>
  <si>
    <t>במקביל:</t>
  </si>
  <si>
    <t xml:space="preserve">תוקטן יתרת הנכסים נטו שקיימת לגביהם הגבלה בדוח על השינויים בנכסים נטו. </t>
  </si>
  <si>
    <t>בדוח על השינויים בנכסים נטו תבוצע העברה:</t>
  </si>
  <si>
    <t xml:space="preserve">מהנכסים נטו לשימוש לפעילויות &gt;&gt;&gt; לנכסים נטו שהושקעו בנכסים קבועים בגובה הסכומים ששוחררו </t>
  </si>
  <si>
    <t>מהגבלות והוכרו בדוח על הפעילויות.</t>
  </si>
  <si>
    <t>תרומות של מזומנים או נכסים אחרים שהוגבלו לרכישה של רכוש קבוע, נכסים בלתי מוחשיים ונדל״ן</t>
  </si>
  <si>
    <t>הנכסים נרכשו או הוקמו והם מוכנים לשימושם המיועד, אלא אם כן התורם דרש שימוש בנכס לאורך</t>
  </si>
  <si>
    <t xml:space="preserve">סכומים שהועברו מהנכסים נטו שקיימת לגביהם הגבלה יוצגו כהכנסות בדוח על הפעילויות בסעיף </t>
  </si>
  <si>
    <t>נפרד וזאת תוך ציון כי הן מהוות סכומים ששוחררו מנכסים נטו שהוגבלו להשקעה בנכסים קבועים.</t>
  </si>
  <si>
    <t>תקופה מוגדרת.</t>
  </si>
  <si>
    <t>מלאי:</t>
  </si>
  <si>
    <t>בהנחה שהתקבל ללא תמורה יוכר כהכנסות בדוח על הפעילויות וכתוספת לנכסים.</t>
  </si>
  <si>
    <t>נכסים:</t>
  </si>
  <si>
    <t>המיועדים לצריכה שוטפת שהתקבלו ללא תמורה יוכרו הן כהכנסות והן כהוצאות בדוח על הפעילויות.</t>
  </si>
  <si>
    <t>המשך מרנין לב של הנושא המרתק בתבל מלכ״רים.</t>
  </si>
  <si>
    <t>נכסים (שאינם מזומן) שהתקבלו ללא תמורה - ואופן התיעוד שלהם (במועד ההכרה ולאחר מכן)</t>
  </si>
  <si>
    <t xml:space="preserve">התקן קובע כי נכסים שתמורתם הוגבלה הם תוספת ישירה לנכסים נטו (לא מוכר כהכנסה) וכמובן שגם הנכסים </t>
  </si>
  <si>
    <t>אם יש מגבלה ברורה לגבי היכולת להשתמש בתמורה של הכספים הנובעים ממכירת הפריט - אז לא מדובר בהכנסה.</t>
  </si>
  <si>
    <r>
      <t xml:space="preserve">אם התורם </t>
    </r>
    <r>
      <rPr>
        <u/>
        <sz val="12"/>
        <color theme="1"/>
        <rFont val="David"/>
      </rPr>
      <t>לא קבע את פרק הזמן לשימוש</t>
    </r>
    <r>
      <rPr>
        <sz val="12"/>
        <color theme="1"/>
        <rFont val="David"/>
      </rPr>
      <t>: השווי ההוגן יוכר כהכנסות בסעיף נפרד בדוח על הפעילויות</t>
    </r>
  </si>
  <si>
    <t>מקרה 1:</t>
  </si>
  <si>
    <t>מקרה 2:</t>
  </si>
  <si>
    <r>
      <t xml:space="preserve">אם התורם דרש </t>
    </r>
    <r>
      <rPr>
        <u/>
        <sz val="12"/>
        <color theme="1"/>
        <rFont val="David"/>
      </rPr>
      <t>שימוש בנכס לתקופה מוגדרת</t>
    </r>
    <r>
      <rPr>
        <sz val="12"/>
        <color theme="1"/>
        <rFont val="David"/>
      </rPr>
      <t>, השווי ההוגן של הנכס ייזקף לנכסים נטו שקיימת לגביהם</t>
    </r>
  </si>
  <si>
    <t>מקרה 3:</t>
  </si>
  <si>
    <t xml:space="preserve">להשקעה או להקמתם יוכרו תחילה כנכסים נטו שקיימת לגביהם הגבלה וישוחררו מההגבלות כאשר </t>
  </si>
  <si>
    <t>סעיף א:</t>
  </si>
  <si>
    <t>התקבל מבנה</t>
  </si>
  <si>
    <t>קידום לימודי נקניק</t>
  </si>
  <si>
    <t>לא</t>
  </si>
  <si>
    <t>בהיעדר מגבלת זמן, נכיר בכל הסכום כהכנסות בדוח</t>
  </si>
  <si>
    <t>ח׳ מבנה</t>
  </si>
  <si>
    <t>ז׳ הכנסות מנכסים שהועברו</t>
  </si>
  <si>
    <t>סיווג נוסף לתיעוד העובדה שהנכסים נטו הנ״ל מושקעים כעת ברכוש קבוע</t>
  </si>
  <si>
    <t>ח׳ נ״נ לשימוש לפעילויות לא מוגבלים שלא יועדו</t>
  </si>
  <si>
    <t>רישום הוצאות פחת:</t>
  </si>
  <si>
    <t>ח׳ הוצאות פחת</t>
  </si>
  <si>
    <t>ז׳ פחנ״צ</t>
  </si>
  <si>
    <t xml:space="preserve">1,000,000 / 20 = </t>
  </si>
  <si>
    <t>ח׳ נ״נ לא מוגבלים ששימשו לרכוש קבוע</t>
  </si>
  <si>
    <t>ז׳ נ״נ לשימוש לפעילויות לא מוגבלים שלא יועדו</t>
  </si>
  <si>
    <t>בנוסף, הואיל והוצאות הפחת מקטינות את הרכוש הקבוע, בהגדרה הנ״נ ששימשו לר״ק קטנים, ויש לתת</t>
  </si>
  <si>
    <t>לכך ביטוי, כנגד הגדלה של הנ״נ הלא מוגבלים שלא יועדו (כי הוצאות הפחת למעשה משפיעות על רכיב</t>
  </si>
  <si>
    <t xml:space="preserve">זה בעקיפין, ומנטרלים זאת). </t>
  </si>
  <si>
    <t>הצורך בכך נובע מהעובדה שברגע שרשמנו הכנסות, הן אוטומטית עוברות לדוח על הפעילויות,</t>
  </si>
  <si>
    <t>שה״שורה התחתונה שלו״ עוברת לנ״נ לשימוש לפעילויות לא מוגבלות, וזה פחות מתאים לנו</t>
  </si>
  <si>
    <t>כי אנחנו רוצים לשקף שערך זה למעשה מושקע ברכוש קבוע. ולכן:</t>
  </si>
  <si>
    <t xml:space="preserve">ב. המלכ״ר קיבל ב- 31.12.2022 מבנה ששוויו ההוגן 2,000,000 ש"ח. </t>
  </si>
  <si>
    <t xml:space="preserve">התורם התנה את התרומה בכך שהמבנה ישמש לקידום לימודי חימום נקניק לתקופה של 5 שנים. </t>
  </si>
  <si>
    <t xml:space="preserve">אורך החיים השימושיים של נכס זה הוא 20 שנה. </t>
  </si>
  <si>
    <t>ז׳ נ״נ שקיימת לגביהם הגבלה</t>
  </si>
  <si>
    <t>זכרו: ברגע שיש מגבלה, סיווג העל של השינוי בנכסים נטו הוא ״נ״נ שקיימת לגביהם הגבלה״.</t>
  </si>
  <si>
    <t>הייעוד של הנכס (לשימוש לפעילויות שלא יועדו, לרכוש קבוע וכו׳) רלוונטי כשאין מגבלה כאמור.</t>
  </si>
  <si>
    <t>התקן קובע כי יש להכיר בהכנסות באופן הדרגתי במשך תקופת השימוש המוגדרת.</t>
  </si>
  <si>
    <t>ח׳ נ״נ שקיימת לגביהם הגבלה</t>
  </si>
  <si>
    <t xml:space="preserve">2,000,000 / 5 = </t>
  </si>
  <si>
    <t>ז׳ הכנסות משחרור מהגבלה</t>
  </si>
  <si>
    <t xml:space="preserve">ברגע שרשמנו הכנסות מפריט באשר הוא, בעקיפין הערך נזקף לנ״נ לא מוגבלת שלא יועדה. </t>
  </si>
  <si>
    <t xml:space="preserve">זה פחות מתאים לנו, כי בסופו של יום, תרמו לנו רכוש קבוע. לכן גם הפעם נצטרך פקודת </t>
  </si>
  <si>
    <t xml:space="preserve">מיון שתתאר את המעבר לנ״נ לא מוגבלים ששימשו לר״ק. </t>
  </si>
  <si>
    <t>ח׳ נ״נ לא מוגבלים שלא יועדו</t>
  </si>
  <si>
    <t>ז׳ נ״נ לא מוגבלים ששימשו לר״ק</t>
  </si>
  <si>
    <t>מתן ביטוי להוצאות פחת ומיונן</t>
  </si>
  <si>
    <t xml:space="preserve">2,000,000 / 20 = </t>
  </si>
  <si>
    <t>ז׳ נ״נ לא מוגבלים שלא יועדו</t>
  </si>
  <si>
    <t>ח׳ נ״נ לא מוגבלים ששימשו לר״ק</t>
  </si>
  <si>
    <t>כמו כל רכוש קבוע, יש להכיר בהוצאות פחת בגינו לאורך חייו השימושיים.</t>
  </si>
  <si>
    <t>בנוסף, העובדה שהוצאות הפחת נרשמות בדוח על הפעילויות, ולכן מקטינות את העודף (״רווח נקי״)</t>
  </si>
  <si>
    <t>ולכן מקטינות (בעקיפין) את הנ״נ לא מוגבלת שלא יועדה (כי לשם הולך ה״רווח הנקי״) גורמת לצורך</t>
  </si>
  <si>
    <t>בנטרול פעולה זו וזאת על מנת לשייך את השפעת הפחת לנ״נ לא מוגבלים ששימשו לר״ק במקום</t>
  </si>
  <si>
    <t>לנ״נ כללית שלא יועדה.</t>
  </si>
  <si>
    <t>בעצם, המשמעות הכללית של העסקה, בשפה פשוטה: בא התורם ואומר: הנה מבנה. קח אחי. אבל המבנה יהיה שלך</t>
  </si>
  <si>
    <t xml:space="preserve">רק אם תגשים את המטרה של קידום לימודי חימום הנקניק באמצעות המבנה במשך 5 שנים. אם עשית את זה - </t>
  </si>
  <si>
    <t>אשריך! אני לא רוצה את המבנה בחזרה, מילאת את חלקך.</t>
  </si>
  <si>
    <t>התפיסה החשבונאית היא: יש לפרוס את סכום התרומה שהתקבלה כהכנסה לאורך ״שנות השירות״ / ״שנות ההסדר״</t>
  </si>
  <si>
    <t>המזכה בתרומה (בדומה להכנסות מראש):</t>
  </si>
  <si>
    <t>המבנה זמין לשימוש ב- 30.6.2023 ואורך החיים השימושיים שלו 40 שנה.</t>
  </si>
  <si>
    <t>ג. המלכ״ר קיבל ב- 1.4.2022 2,000,000 ש״ח לצורך הקמת מבנה חדש לפקולטה לרפואת גסטרו לשיקום נזקי נקניק.</t>
  </si>
  <si>
    <t>תחילה, ברמת ניסוח: אם המלכ״ר קיבל כסף ״לצורך הקמת...״, האם ״צורך זה״ הוא בגדר מגבלה שהטיל תורם או מטרה</t>
  </si>
  <si>
    <t xml:space="preserve">כללית או תכנון מלכ״רי? פרשנות טבעית: מגבלת תורם - התורם קובע מגבלה לגבי אופן השימוש בכסף. </t>
  </si>
  <si>
    <r>
      <t xml:space="preserve">ח׳ מזומן </t>
    </r>
    <r>
      <rPr>
        <b/>
        <sz val="12"/>
        <color theme="1"/>
        <rFont val="David"/>
      </rPr>
      <t>מיועד</t>
    </r>
  </si>
  <si>
    <t>השימוש במונח ״מיועד״ מקובל מאד ונועד לסמן גם את הכספים עצמם שנתקבלו בתור כאלו שמיועדים</t>
  </si>
  <si>
    <t xml:space="preserve">למטרה מסוימת כך שלא יבוצע בהם אף שימוש אחר. </t>
  </si>
  <si>
    <r>
      <t xml:space="preserve">ז׳ מזומן </t>
    </r>
    <r>
      <rPr>
        <b/>
        <sz val="12"/>
        <color theme="1"/>
        <rFont val="David"/>
      </rPr>
      <t>מיועד</t>
    </r>
  </si>
  <si>
    <t xml:space="preserve">אין להכיר בהכנסה ו/או בנ״נ לא מוגבלים ששימשו לר״ק, שכן המגבלה טרם מולאה (המבנה לא מוכן). </t>
  </si>
  <si>
    <t>ראשית, ההגבלה מולאה בתאריך זה, הואיל והמבנה שעבורו גוייסו הכספים מוכן לשימוש.</t>
  </si>
  <si>
    <t>לכן, ה-2,000,000 שהיו בגדר ערך מוגבל, כבר אינם מוגבלים - מהווים הכנסה.</t>
  </si>
  <si>
    <t>שנית, יש לדאוג לכך שמלוא סכום העלות שהושקעה במבנה - 2,300,000, יעבור לנ״נ לא מוגבלים</t>
  </si>
  <si>
    <t>ששימשו לרכוש קבוע:</t>
  </si>
  <si>
    <t xml:space="preserve">2,300,000 / 40 * (6/12) = </t>
  </si>
  <si>
    <t>רישום הוצאות פחת בגין מבנה - מזמינות לשימוש 30.6.2023 עד 31.12.2023</t>
  </si>
  <si>
    <t>אורך החיים 40 שנה, והסכום הכולל שהושקע במבנה 2,300,000 ולכן:</t>
  </si>
  <si>
    <t xml:space="preserve">ד. בשנת 2023 המלכ״ר רכש ציוד משרדי מתכלה בשווי 40,000 ש״ח. ספק הציוד ויתר על 25% מהסכום. </t>
  </si>
  <si>
    <t xml:space="preserve">עצם העובדה שנרכש ציוד משרדי מתכלה, מוביל להכרה בהוצאה במלוא סכומו. </t>
  </si>
  <si>
    <t>זוהי הוצאה רגילה, אין לה השפעה על רכוש קבוע, אין לבצע מיון נוסף של נ״נ לא מוגבלים שלא יועדו.</t>
  </si>
  <si>
    <t>ח׳ הוצאות ציוד משרדי</t>
  </si>
  <si>
    <t xml:space="preserve">40,000 * 75% = </t>
  </si>
  <si>
    <t>ז׳ הכנסות מתרומה (נכסים שהועברו ללא תמורה)</t>
  </si>
  <si>
    <t xml:space="preserve">הואיל ההבטחה לקבלת זכות השימוש איננה מותנית (אין תנאי מסויים שצריך לעמוד בו על מנת </t>
  </si>
  <si>
    <t>להוביל לזכאות לקבלת זכות השימוש בפועל), אנו נכיר מיד בנכס חייבים (הצד השלישי כבר</t>
  </si>
  <si>
    <t>הואיל ופרק הזמן לקבלת ההטבה מהותי (מספר שנים), אנו מגדירים זאת כפרק זמן משמעותי,</t>
  </si>
  <si>
    <t>ולכן המדידה תשען על היוון (PV) של הערכים המתקבלים.</t>
  </si>
  <si>
    <t>ח׳ חייבים (*)</t>
  </si>
  <si>
    <t>ב-Excel, חישוב ערך נוכחי לסדרה קבועה של הטבות כלכליות / תזרימים</t>
  </si>
  <si>
    <t>צפויים, יבוצע באמצעות פונקציית PV האקסלית.</t>
  </si>
  <si>
    <t>rate</t>
  </si>
  <si>
    <t>nper</t>
  </si>
  <si>
    <t>pmt</t>
  </si>
  <si>
    <t>&gt;&gt;&gt;&gt;&gt;&gt;&gt;&gt;&gt;&gt;</t>
  </si>
  <si>
    <t>נכס החייבים נרשם בסכומים מהוונים (PV), ובהתאם - יש לעדכנו כפונקציה של חלוף הזמן</t>
  </si>
  <si>
    <t>וזאת על בסיס שנתי.</t>
  </si>
  <si>
    <t>שווי נכס החייבים המקורי במועד ההכרה:</t>
  </si>
  <si>
    <t>שיעור ההיוון המגלם את חלוף הזמן:</t>
  </si>
  <si>
    <t>מכפלה - גידול בחייבים ובנ״נ מוגבלים:</t>
  </si>
  <si>
    <t xml:space="preserve">115,826 * 5% = </t>
  </si>
  <si>
    <t xml:space="preserve">ח׳ חייבים </t>
  </si>
  <si>
    <t>מעבר לחלוף הזמן והפרשי ההיוון לעיל, החברה עצמה מתחילה להשתמש בנכס השנה. ומדוע?</t>
  </si>
  <si>
    <t>משום שאלא אם נאמר אחרת, כברירת מחדל, השימוש בנכס מתחיל במועד חתימת ההסדר,</t>
  </si>
  <si>
    <t xml:space="preserve">כלומר ב-31.12.2022 / תחילת 2023. </t>
  </si>
  <si>
    <t>ח׳ הוצאות שכירות</t>
  </si>
  <si>
    <t>לפי שוויים ההוגן של דמי שכירות לשנה אחת</t>
  </si>
  <si>
    <t>התורם ״חייב לנו״ פחות</t>
  </si>
  <si>
    <t>אין ספק שסכום זה גם מהווה הכנסה (מימשתי את ההכנסה ברגע שניצלתי את זכות השימוש</t>
  </si>
  <si>
    <t>שנמסרה לי השנה).</t>
  </si>
  <si>
    <t>ז׳ הכנסות מתרומות/שחרור</t>
  </si>
  <si>
    <t>מה שקרה זה כך:</t>
  </si>
  <si>
    <t>עצם מימוש חלק מהזכות - ״משחרר מהגבלה״ חלק מסכום התרומה: והופך להכנסה.</t>
  </si>
  <si>
    <t>ראשית במישור העסקי (הכלכלי), נתייחס לתשלומים המתבקשים של דמי החכירה ארוכי הטווח כהתחייבות - אבל</t>
  </si>
  <si>
    <t xml:space="preserve">כמובן לפי ערכם הנוכחי, וכן נכיר בנכס זכות השימוש שנוצר במקביל - והכל בהתאם לדמי החכירה שנקבעו בפועל </t>
  </si>
  <si>
    <t>בהסכם.</t>
  </si>
  <si>
    <t>ח׳ נכס זכות שימוש</t>
  </si>
  <si>
    <t>ז׳ התחייבות בגין חכירה</t>
  </si>
  <si>
    <t>בהיעדר נתונים על הצורך להתייחס לפיצול משנה של הנכסים נטו לכאלו שיועדו לרכוש קבוע, הרי שעצם פקודה זו</t>
  </si>
  <si>
    <t xml:space="preserve">לא משנה את סך הנכסים נטו; אלא העלייה בהם נובעת מההפרש החיובי בין סכום החכירה השנתי בתנאי שוק </t>
  </si>
  <si>
    <t xml:space="preserve">שהנו 18,000 לבין הסכום שאותו אנו נשלם בחכירה של 12,000. נייצר אם כך ביטוי לחישוב הערך הנוכחי </t>
  </si>
  <si>
    <t>של סדרת ההטבות בגובה של 6,000 ש״ח לשנה.</t>
  </si>
  <si>
    <t>הסימן השלילי לפני הנוסחה נועד אך ורק</t>
  </si>
  <si>
    <t>על מנת לבטא את התוצאה בערך מוחלט.</t>
  </si>
  <si>
    <t>שלב 1: עדכון נכס החייבים בגין חלוף הזמן ובהתאם לריבית: 5%</t>
  </si>
  <si>
    <t xml:space="preserve">46,330 * 5% = </t>
  </si>
  <si>
    <t>שלב 3: הכרה בהכנסות מתרומות (זה מה ש״מימן״ את ההטבה) כנגד הקטנת נ״נ שקיימת לגביהם הגבלה</t>
  </si>
  <si>
    <t>ז׳ הכנסות מתרומות (שחרור)</t>
  </si>
  <si>
    <t>שלב 4: נכס זכות השימוש שברשותנו (שהוכר במקור לפי דמי חכירה מופחתים) מופחת על פני תקופת</t>
  </si>
  <si>
    <t>השימוש או תקופת החכירה - 10 שנים:</t>
  </si>
  <si>
    <t>ז׳ פחנ״צ (נכס זכות שימוש)</t>
  </si>
  <si>
    <t xml:space="preserve">92,661 / 10 = </t>
  </si>
  <si>
    <t>שלב 5: חישוב ההוצאה בגין החלק שהמלכ״ר שילם בעצמו (12,000):</t>
  </si>
  <si>
    <t>ח׳ הוצאות מימון</t>
  </si>
  <si>
    <t xml:space="preserve">92,661 * 5% = </t>
  </si>
  <si>
    <t>ח׳ התחייבות בגין חכירה</t>
  </si>
  <si>
    <t>למעשה: כל אימת שמבוצע תשלום בגין חכירה, הוא למעשה מהווה כעין החזר הלוואה בגין הנכס</t>
  </si>
  <si>
    <t>החכור. לפיכך, נקטין את המזומן בגובה מלוא התשלום (12,000), נרשום הוצאות מימון לפי מכפלת</t>
  </si>
  <si>
    <t>יתרת הפתיחה של ההתחייבות בשיעור ההיוון (92,661 * 5%), וההפרש בין סך התשלום לבין רכיב</t>
  </si>
  <si>
    <t>הוצאות המימון / הריבית מקטין את (קרן) ההתחייבות בגין חכירה:</t>
  </si>
  <si>
    <t>12,000 - 4,633 = 7,367</t>
  </si>
  <si>
    <t>הערה כללית לפני תחילת העבודה: בשאלה זו לא ציינו האם החברה מפרידה בין נכסים נטו לא מוגבלים שלא יועדו,</t>
  </si>
  <si>
    <t>נכסים נטו לא מוגבלים שיועדו, ונכסים נטו לא מוגבלים ששימשו לרכוש קבוע.</t>
  </si>
  <si>
    <t xml:space="preserve">במלים אחרות, מבחינתנו כפותרים, הפרדה זו בשאלה זו - היא אופציונלית. ובמבחן - העדפתי היא לא להתייחס לפיצול </t>
  </si>
  <si>
    <t>זה כדי לחסוך בזמן.</t>
  </si>
  <si>
    <t xml:space="preserve">זו הסיבה שלאורך שאלה זו, אתם לא תראו העברות בין נכסים לא מוגבלים לסוגיהם. </t>
  </si>
  <si>
    <t>סיכום ביניים לתכני המפגש:</t>
  </si>
  <si>
    <t>למדנו את אופן ההתייחסות להעברת סוגים שונים של נכסים, לרבות נכסים שהזכאות להם מוגבלת בחלוף הזמן</t>
  </si>
  <si>
    <t xml:space="preserve">ובביצוע פעולה מסוימת. </t>
  </si>
  <si>
    <t>הראינו את האופן שבו נכיר בנכסים אלו, בהכנסות ככל שקיימות משחרור מהגבלה, לצד ההשפעות הפרקטיות</t>
  </si>
  <si>
    <t xml:space="preserve">של מדידת הנכסים והסיווג הנובע מכך. </t>
  </si>
  <si>
    <t>לאחר מכן, דנו בעסקאות חכירה בתמורה מוטבת (עסקאות חכירה / ליסינג / שכירות ארוכת טווח) מסובסדות,</t>
  </si>
  <si>
    <t>תוך הצגת רכיב הנכס (זכות שימוש) רכיב התרומה (הסבסוד) והשפעות המימון והמדידה לאורך זמן.</t>
  </si>
  <si>
    <t xml:space="preserve">לבסוף, קינחנו בהיבטים תיאורטיים של הכנסות בגין שירותים שהתקבלו ללא תמורה (שבגינן ההיבט העיקרי </t>
  </si>
  <si>
    <t xml:space="preserve">שחשוב לזכור הוא שצריך להטיל בספק את עצם הצורך לרשום אירועים אלו; נדרש לזהותם באופן ברור, </t>
  </si>
  <si>
    <t>נחיצותם וערכם צריך להיות מוגדר במפורש), וקינחנו בסיטואציה מעניינת שבה מעבירים כסף לחברה ללא שיקול</t>
  </si>
  <si>
    <t>דעת, מה שהפוך אותה ל״סוכן״ ומחייב אותה להכיר בסכום שהועבר כהתחייבות ולא כהכנסה.</t>
  </si>
  <si>
    <t>במפגש הבא: נעסוק בנושא המעניין של תרומות בתנאי אנונה (קצבאות) ורכיב המימון הגלום בהן, ונבצע סיכום</t>
  </si>
  <si>
    <t xml:space="preserve">מצרפי לטובת מבנה הדוחות ופתרון שאלה מסכמת. </t>
  </si>
  <si>
    <t>שי ומה לגבי שאלות מייצגות נו אתה חייב לכתוב לנו עוד שאלות!</t>
  </si>
  <si>
    <t xml:space="preserve">אני מבין לגמרי. באתר הקורס תמצאו כעת עוד שאלות עם פתרונות. </t>
  </si>
  <si>
    <t>בהיבט לוחות הזמנים, יש לנו עוד 2 נושאים ״גדולים״ ולכן במפגש הבא כבר נתקדם לנושא הבא, אלא אם יעלו בטרם</t>
  </si>
  <si>
    <t>עת צרכים אחרים מהשטח (חשוב - לא להגיע לשיעור ולהפתיע, מערכי השיעור נבנים מראש כעת להגברת</t>
  </si>
  <si>
    <t xml:space="preserve">האפקטיביות). </t>
  </si>
  <si>
    <t>להמשך...</t>
  </si>
  <si>
    <t>חזרה על החומר</t>
  </si>
  <si>
    <t>פתרון שאלות לדוגמא כולל שאלות היסטוריות ושאלות נוספות באתר</t>
  </si>
  <si>
    <t>ז׳ התחייבות בתנאי אנונה (אנונה לשלם)</t>
  </si>
  <si>
    <t>ז׳ נ״נ מוגבלים PN</t>
  </si>
  <si>
    <t>לאור העובדה שהסכום ההפרשי מוגבל למטרה ספציפית (מלגות)</t>
  </si>
  <si>
    <t>פקודת יומן למתן ביטוי לתשלום הקצבה התקופתית לתורמת:</t>
  </si>
  <si>
    <t>ח׳ אנונה לשלם</t>
  </si>
  <si>
    <t xml:space="preserve">85,136 * 10% = </t>
  </si>
  <si>
    <t>ח׳ הוצאות מימון (*)</t>
  </si>
  <si>
    <t>הוצאות המימון התקופתיות מחושבות לפי יתרת הפתיחתה של ההתחייבות בגין אנונה</t>
  </si>
  <si>
    <r>
      <t xml:space="preserve">לשנה זו, כשהיא מוכפלת בשיעור ההיוון הידוע </t>
    </r>
    <r>
      <rPr>
        <u/>
        <sz val="12"/>
        <color theme="1"/>
        <rFont val="David"/>
      </rPr>
      <t>לתחילת התקופה</t>
    </r>
    <r>
      <rPr>
        <sz val="12"/>
        <color theme="1"/>
        <rFont val="David"/>
      </rPr>
      <t>.</t>
    </r>
  </si>
  <si>
    <t>פקודת יומן במועד ההתקשרות בעסקת האנונה:</t>
  </si>
  <si>
    <t>ח׳ אנונה לשלם PN</t>
  </si>
  <si>
    <t>פקודת יומן לשערוך ההתחייבות - על בסיס פרמטרים אקטואריים עדכניים:</t>
  </si>
  <si>
    <t>יתרת ההתחייבות בגין אנונה - לפני מדידה מחדש:</t>
  </si>
  <si>
    <t xml:space="preserve">85,136 - 1,486 = </t>
  </si>
  <si>
    <t>יתרת ההתחייבות בגין אנונה - לאחר מדידה מחדש:</t>
  </si>
  <si>
    <t>בחישוב זה מגולמת ההנחה ההגיונית לפיה אם תשלומי האנונה מוגדרים בתום כל שנה נקודה, פטירת התורם</t>
  </si>
  <si>
    <t xml:space="preserve">לפני תום השנה לא תזכה אותו באנונה כלשהי בגין שנה זו. </t>
  </si>
  <si>
    <t>עלייה ביתרת האנונה לשלם בגין שינויים אקטואריים:</t>
  </si>
  <si>
    <t xml:space="preserve">102,007 - 83,649 = </t>
  </si>
  <si>
    <t>העלייה ביתרת האנונה תקטין את הנ״נ המוגבלים (שעבורם אמור הסכום העודף לשמש):</t>
  </si>
  <si>
    <t>ח׳ נ״נ מוגבלים</t>
  </si>
  <si>
    <t>ז׳ התחייבות בגין אנונה / אנונה לשלם</t>
  </si>
  <si>
    <t>בעצם, בשפה גסה: ״אויש, התורמת כנראה תחייה יותר זמן ממה שחשבנו; איזה באסה. זה אומר</t>
  </si>
  <si>
    <t xml:space="preserve">שנצטרך לשלם לה יותר, ויישאר לנו פחות לחלוקת מלגות, למטרותינו״. </t>
  </si>
  <si>
    <t>הערה:</t>
  </si>
  <si>
    <t>אם התורמת מתה במפתיע (יאייי) אז נבטל את כל יתרת ההתחייבות לאותו מועד, ובמקביל - נכיר</t>
  </si>
  <si>
    <t xml:space="preserve">בעלייה בנכסים נטו המוגבלים או בהכנסות מתרומות (כתלות בייעוד השארית). </t>
  </si>
  <si>
    <t>פקודת יומן במועד ההכרה בעסקת האנונה:</t>
  </si>
  <si>
    <t>ח׳ מכונית</t>
  </si>
  <si>
    <t>ז׳ התחייבות בתנאי אנונה / אנונה לשלם</t>
  </si>
  <si>
    <t>ז׳ הכנסות מתרומות - העברת נכסים</t>
  </si>
  <si>
    <t>שווי המכונית הנתון</t>
  </si>
  <si>
    <t>משני זה הוא אופציונלי ונדרש רק אם הונחיתם כך מפורשות). באופן טבעי זה אומר, שהסכום של ההכנסות שנכלל</t>
  </si>
  <si>
    <t xml:space="preserve">בדוח על הפעילויות - נכנס (מגדיל) בעקיפין את הנ״נ הלא מוגבלים שלא יועדו. </t>
  </si>
  <si>
    <t xml:space="preserve">אבל, הואיל ונתון שהחברה גם דואגת להפריד בין ננ״ה לא מוגבלת שלא יועדה לנ״נ לא מוגבלים ששימשו לר״ק, נדרשת </t>
  </si>
  <si>
    <t>פקודת מיון במסגרתה כלל הערכים שהועברו לרכוש קבוע - ייכללו בנ״נ ששימשו לרכוש קבוע:</t>
  </si>
  <si>
    <t>כתוצאה עקיפה של פקודה קודמת</t>
  </si>
  <si>
    <t>השלמה ממקורות המלכ״ר</t>
  </si>
  <si>
    <t xml:space="preserve">       פיצול רק לצורך הסבר</t>
  </si>
  <si>
    <r>
      <t xml:space="preserve">אם ההנחה באדום לא היתה נתונה, </t>
    </r>
    <r>
      <rPr>
        <b/>
        <u/>
        <sz val="12"/>
        <color theme="1"/>
        <rFont val="David"/>
      </rPr>
      <t>למעשה לא נדרש לבצע מיון נוסף ולייעד חלק מהנכסים נטו לר״ק</t>
    </r>
    <r>
      <rPr>
        <b/>
        <sz val="12"/>
        <color theme="1"/>
        <rFont val="David"/>
      </rPr>
      <t xml:space="preserve"> (שכן סיווג</t>
    </r>
  </si>
  <si>
    <t>הואיל ומדובר ברכוש קבוע, יש לרשום בגינו הוצאות פחת:</t>
  </si>
  <si>
    <t xml:space="preserve">300,000 / 15 = </t>
  </si>
  <si>
    <t>הואיל והוצאות הפחת הגדילו את הפחת הנצבר והקטינו את הרכוש הקבוע, גם יתרת הנ״נ ששימשה לר״ק תקטן בהתאם:</t>
  </si>
  <si>
    <t xml:space="preserve">ז׳ נ״נ לא מוגבלת שלא יועדה </t>
  </si>
  <si>
    <t>כעת יש לטפל בתשלום לתורמת:</t>
  </si>
  <si>
    <t>ח׳ אנונה לשלם - PN</t>
  </si>
  <si>
    <t xml:space="preserve">10,000 - 8,514 = </t>
  </si>
  <si>
    <t>אחריה מורשת מדהימה שסייעה מאד למלכ״ר בחלוקת מלגות.</t>
  </si>
  <si>
    <t>עלינו לבטל את שארית ההתחייבות:</t>
  </si>
  <si>
    <t>פתרון א</t>
  </si>
  <si>
    <t>ז׳ ציוד</t>
  </si>
  <si>
    <t>תמורה</t>
  </si>
  <si>
    <t>העלות המופחתת של הנמכר</t>
  </si>
  <si>
    <t>רווח הון</t>
  </si>
  <si>
    <t>ראייה ״עסקית״</t>
  </si>
  <si>
    <t xml:space="preserve">אנו עוסקים במלכ״ר - לכן יסווג ישירות </t>
  </si>
  <si>
    <t>כהכנסות אחרות.</t>
  </si>
  <si>
    <t xml:space="preserve">ז׳ הכנסות אחרות </t>
  </si>
  <si>
    <t>בנוסף, הואיל ונתון שהמלכ״ר מפריד בין נ״נ ללא הגבלה (לנ״נ ששימשה לרכוש קבוע) נדרשת גם פקודת מיון</t>
  </si>
  <si>
    <t>שתעניק ביטוי לקיטון במצבת הרכוש הקבוע כפועל יוצא מהמכירה:</t>
  </si>
  <si>
    <t>ז׳ נ״נ לא מוגבלים לשימוש לפעילויות</t>
  </si>
  <si>
    <t>פתרון ב</t>
  </si>
  <si>
    <t>ההבדל בין סעיף זה לקודמו נובע מכך שהואיל וכל כספי תמורת המכירה מיועדים רק לרכישת</t>
  </si>
  <si>
    <t>ציוד חליפי ולפיכך מוגבלים, גם ה״רווח״ שנוצר מהמכירה נזקף במישרין לנ״נ מוגבלת, ובהתאם</t>
  </si>
  <si>
    <t>פקודת המכירה תשתנה ל:</t>
  </si>
  <si>
    <r>
      <t xml:space="preserve">ז׳ </t>
    </r>
    <r>
      <rPr>
        <strike/>
        <sz val="12"/>
        <color theme="1"/>
        <rFont val="David"/>
      </rPr>
      <t>הכנסות אחרות</t>
    </r>
    <r>
      <rPr>
        <sz val="12"/>
        <color theme="1"/>
        <rFont val="David"/>
      </rPr>
      <t xml:space="preserve"> ננ״ה מוגבלים</t>
    </r>
  </si>
  <si>
    <t>פתרון נדרש א</t>
  </si>
  <si>
    <t>ז׳ נ״נ מוגבלים</t>
  </si>
  <si>
    <t>גם כי מוגבל לערך הריאלי, וגם משרת מטרה של חלוקת מלגות</t>
  </si>
  <si>
    <t>ח׳ פקדון</t>
  </si>
  <si>
    <t>מתן ביטוי לריבית בגין הפיקדון בהינתן התניות התורם והצורך לשמור על הערך הריאלי:</t>
  </si>
  <si>
    <t xml:space="preserve">150,000 * 3% = </t>
  </si>
  <si>
    <t>לפי הרכיב המהווה שמירה על הערך הריאלי לפי עליית מדד</t>
  </si>
  <si>
    <t xml:space="preserve">150,000 * 2% = </t>
  </si>
  <si>
    <t xml:space="preserve">4,500 - 3,000 = </t>
  </si>
  <si>
    <t>בכל יתר התשואה ניתן להשתמש - לכן גם זה מוגבל</t>
  </si>
  <si>
    <t xml:space="preserve">במקרה זה, הואיל וגם נדרשת שמירה על הקרן הריאלית (מגבלה) </t>
  </si>
  <si>
    <t xml:space="preserve">וגם נדרש להשתמש בתשואה שמעבר אך ורק למטרה ספציפית של חלוקת מלגות - </t>
  </si>
  <si>
    <t>נוכל לומר שכל התשואה בגין הפקדון מוגבלת.</t>
  </si>
  <si>
    <r>
      <t>אילו</t>
    </r>
    <r>
      <rPr>
        <sz val="12"/>
        <color theme="1"/>
        <rFont val="David"/>
      </rPr>
      <t xml:space="preserve"> היו מספרים שהמלכ״ר יכול להשתמש ברכיב התשואה שמעבר לעליית המדד (ברווח הריאלי) למטרותיו:</t>
    </r>
  </si>
  <si>
    <t>ז׳ הכנסות מימון</t>
  </si>
  <si>
    <t>החלק שמוגבל בכל מקרה, לאור הצורך לשמור תמיד על ערך ריאלי.</t>
  </si>
  <si>
    <t>החלק שמוגבל רק לטובת הייעוד הספציפי של חלוקת מלגות - במידה ותחולקנה מלגות, חלק ספציפי ישוחרר</t>
  </si>
  <si>
    <t>מההגבלה.</t>
  </si>
  <si>
    <t>נדרש זה זהה לחלוטין לקודמו, למעט העניין שלפיו האינפלציה גבוהה יותר מהתשואה על הפקדון, לכן את ההשלמה המתבקשת</t>
  </si>
  <si>
    <t>לשמירה על הערך הריאלי של הכסף - המלכ״ר צריך להשלים ממקורותיו שלו כהוצאות מימון.</t>
  </si>
  <si>
    <t xml:space="preserve">150,000 * 4.5% = </t>
  </si>
  <si>
    <t>ח׳ הוצ׳ מימון</t>
  </si>
  <si>
    <t xml:space="preserve">6,750 - 4,500 = </t>
  </si>
  <si>
    <t>דגשים מרכזיים וטיפים בפתרון שאלת מסה / רמת בחינה מס׳ 1 מקובץ ה - PDF הנפרד באתר הקורס</t>
  </si>
  <si>
    <t>ככלל, בשאלות בחינה / מסה / מועצה יש מגוון רחב של אירועים.</t>
  </si>
  <si>
    <t>המטרה היא לתעד אותם תחילה, לרבות באמצעות פקודות יומן, ואז לבצע ריכוז של ההשפעה בהיבט פקודות יומן</t>
  </si>
  <si>
    <t>על ריכוז תוצרי הדיווח - ובעיקרם - הדוח על הפעילויות והדוח על השינויים בנכסים נטו.</t>
  </si>
  <si>
    <t>שינויים בדוח על השינויים בנכסים נטו</t>
  </si>
  <si>
    <t>למעשה, הרכיב הראשון באירוע זה הוא עצם התרומה למטרה ספציפית (מוגבלת), נתחיל מתיעודה:</t>
  </si>
  <si>
    <t>לגבי התחייבותו כביכול של מר לימון כלפינו (הבטחה) הרי שבהינתן שמדובר בהבטחה מותנית, בהעמדה ממקורותינו</t>
  </si>
  <si>
    <t>של סכום זהה - כל עוד לא קיבלתי נתון מפורש בדבר קיום ההתניה, זכאותנו לסכום עדיין לא מובטחת, ואין להכיר</t>
  </si>
  <si>
    <t xml:space="preserve">בסכום הנוסף כלל. </t>
  </si>
  <si>
    <t>ז׳ אנונה לשלם</t>
  </si>
  <si>
    <t>המרת הריבית השנתית הנתונה לריבית חודשית</t>
  </si>
  <si>
    <t>המייצגת את פרק הזמן בין תשלומי סדרת האנונה</t>
  </si>
  <si>
    <t>מספר התשלומים החודשיים במשך השנתיים</t>
  </si>
  <si>
    <t>סכום הקצבה</t>
  </si>
  <si>
    <t>החודשית</t>
  </si>
  <si>
    <t>ז׳ הכנסות מתרומה PN</t>
  </si>
  <si>
    <t>דוח על הפעילויות</t>
  </si>
  <si>
    <t>כמובן שנרצה לחשב בנוסף את התנועה בהתחייבות בגין אנונה (אנונה לשלם), במיוחד זה מעניין בהינתן</t>
  </si>
  <si>
    <t>יתרת פתיחה במועד ההתקשרות</t>
  </si>
  <si>
    <t>התחשיב ותדירות התשלומים החודשית.</t>
  </si>
  <si>
    <t>תמיד כשאני נתקל בעסקת אנונה, אני כמלכ״ר חושש מאד מהחשיפה האקטוארית שנוצרת לתורם בתנאי אנונה.</t>
  </si>
  <si>
    <t>לכן, אני אסקור את שארית השאלה ואחפש אירועים / נתונים שמעידים על שינוי בערכים האקטואריים כאמור.</t>
  </si>
  <si>
    <t>תשלומים שבוצעו עד וכולל 30.6.2016</t>
  </si>
  <si>
    <t xml:space="preserve">3,000 * 4 = </t>
  </si>
  <si>
    <t xml:space="preserve">יתרת ביניים ערב השינוי </t>
  </si>
  <si>
    <t>מקובל לחשב הוצ׳ מימון בעסקה הכוללת תשלומים רבים במהלך התקופה כחילוץ</t>
  </si>
  <si>
    <t>יתרת ביניים אנונה לשלם לאחר השינוי</t>
  </si>
  <si>
    <t>תשלומים נוספים: 07-12.2016</t>
  </si>
  <si>
    <t xml:space="preserve">3,000 * 6 = </t>
  </si>
  <si>
    <t>יתרת סגירה אנונה לשלם</t>
  </si>
  <si>
    <t>פקודות יומן (זיו דונט):</t>
  </si>
  <si>
    <t>בהחלט אפשר להסתפק בפקודות לתום השנה, כל עוד לאחר רישומן הערכים שיגיעו לדיווח הכספי השנתי יהיו נכונים.</t>
  </si>
  <si>
    <t>ח׳ הפסד מהתאמת אנונה</t>
  </si>
  <si>
    <t>ב-1.4.2021 חברה החלה לייצר מכונה לחימום נקניק.</t>
  </si>
  <si>
    <t>עלות בש״ח</t>
  </si>
  <si>
    <t>לצורך ייצור והקמת המכונה, החברה נטלה ב-31.3.2021 הלוואה בסך 6 מיליון ש״ח. ההלוואה נושאת ריבית</t>
  </si>
  <si>
    <t>שנתית בשיעור 6%, ומשקיעה סכומים שטרם הוצאו בפקדון הנושא ריבית בשיעור 3% לשנה. יש להניח חישוב</t>
  </si>
  <si>
    <t>ריבית פשוטה / לינארי.</t>
  </si>
  <si>
    <t xml:space="preserve">מהו סכום עלויות האשראי שיהוונו בשנת 2021, ומהי יתרת המכונה לחימום נקניק ליום 31.12.2021. </t>
  </si>
  <si>
    <t>שאלה 1 - ייחוס עלויות אשראי ספציפי</t>
  </si>
  <si>
    <t>שאלה 2 - חישוב שיעור היוון משוקלל</t>
  </si>
  <si>
    <t>31.12.2020</t>
  </si>
  <si>
    <t>עלויות אשראי</t>
  </si>
  <si>
    <t>1.4.2021</t>
  </si>
  <si>
    <t>תאריך קבלה</t>
  </si>
  <si>
    <t>1.12.2021</t>
  </si>
  <si>
    <t xml:space="preserve">חשבו את שיעור ההיוון המשוקלל. </t>
  </si>
  <si>
    <t>שאלה 3 - היוון אשראי כללי</t>
  </si>
  <si>
    <t>סכום כספי</t>
  </si>
  <si>
    <t>הערה</t>
  </si>
  <si>
    <t>שולם ב-1.2.2021</t>
  </si>
  <si>
    <t>שולם במזומן מיידי</t>
  </si>
  <si>
    <t>מענק השקעה (לכן שלילי)</t>
  </si>
  <si>
    <t>התחייבות לספק שירותים</t>
  </si>
  <si>
    <t xml:space="preserve">חשבו את הסכום שיש להוון בגין אשראי כללי. </t>
  </si>
  <si>
    <t>נתונים נוספים:</t>
  </si>
  <si>
    <t>א. 60% מעלות ההקמה ב-1/1/2022 מומנה בהלוואה ספציפית שהריבית בגינה 6,000 ש״ח.</t>
  </si>
  <si>
    <t>הלוואה שניטלה ב-1/1/2022 ל-3 שנים, בסך 70,000 ש״ח.</t>
  </si>
  <si>
    <t>ההלוואה נושאת ריבית שנתית של 8% לשנה, המשולמת בסוף כל שנה, הקרן נפרעת בסוף התקופה.</t>
  </si>
  <si>
    <t>וכן:</t>
  </si>
  <si>
    <t>הלוואה שניטלה ב-1/10/2022 ל-3 שנים, בסך 100,000 ש״ח, ריבית שנתית 6%.</t>
  </si>
  <si>
    <t>כל חישובי הריבית פשוטים.</t>
  </si>
  <si>
    <t>מהן עלויות האשראי שיש להוון בשנת 2022 ומהי יתרת הנכס הכשיר ליום 31.12.2022.</t>
  </si>
  <si>
    <t>חכירות חלק ב</t>
  </si>
  <si>
    <t>חכירות חלק ג</t>
  </si>
  <si>
    <t>שאלה 5 - הפרשי שער כעלויות אשראי</t>
  </si>
  <si>
    <t>חברה שמטבע הפעילות שלה ש״ח נטלה ב-1.1.2022 הלוואה בסך 50,000 דולר הנושאת ריבית שנתית בשיעור 5%</t>
  </si>
  <si>
    <t>הריבית שעומדת בפני החברה באותו יום בגין הלוואות שקליות בתנאים דומים היא 8%.</t>
  </si>
  <si>
    <t>שערי חליפין:</t>
  </si>
  <si>
    <t>שע״ח</t>
  </si>
  <si>
    <t>ממוצע 2022</t>
  </si>
  <si>
    <t>נדרש: מהן עלויות האשראי הכשירות להיוון, ומהן הוצאות הפרשי השער בדוח רווח והפסד.</t>
  </si>
  <si>
    <t>תקופת ההקמה מוערכת ב-5 שנים והעלות המוערכת היא 6,000,000 ש״ח.</t>
  </si>
  <si>
    <t>פתרון:</t>
  </si>
  <si>
    <t xml:space="preserve">כאשר האשראי ספציפי, ייחוסו לנכס הוא פשוט עקרונית. </t>
  </si>
  <si>
    <t>הנקודה המרכזית שיש לשים לב אליה היא, שיש כאן שימוש בכספים שטרם שימשו להשקעה בנכס - כהשקעה</t>
  </si>
  <si>
    <t xml:space="preserve">בפיקדון. </t>
  </si>
  <si>
    <t xml:space="preserve">ההשקעה הזו בפיקדון דורשת חישובי יתרות במהלך תקופות היציאות וחישוב הכנסות מימון כך שעלויות </t>
  </si>
  <si>
    <t xml:space="preserve">האשראי תבוטאנה בערכים נטו. </t>
  </si>
  <si>
    <t xml:space="preserve">הדגש המרכזי פה הוא על חישוב שיעור היוון משוקלל. </t>
  </si>
  <si>
    <t>זאת משום שכפי שיוצג בהמשך ובהתאם לדרישות התקן, שיעור ההיוון המשוקלל הוא רכיב עיקרי בתהליך ייחוס</t>
  </si>
  <si>
    <t xml:space="preserve">הקצאת עלויות אשראי לנכסים הכשירים. </t>
  </si>
  <si>
    <t>שיעור ההיוון המשוקלל דורש מאיתנו:</t>
  </si>
  <si>
    <t>ג. לחשב את הפרופורציה בין ערכים אלו: עלויות אשראי חלקי ממוצע אשראי לתקופה. כך מקבלים את שיעור ההיוון</t>
  </si>
  <si>
    <t xml:space="preserve">המשוקלל. </t>
  </si>
  <si>
    <t>הכיוון הכללי לעבודה הוא:</t>
  </si>
  <si>
    <t>א. חשב את הסכום הכולל ששירת את הקמת נכס הנקניק: כל יציאה בגין הנכס כפול החלק היחסי ממועד השקעתה</t>
  </si>
  <si>
    <t xml:space="preserve">עד לתום השנה. </t>
  </si>
  <si>
    <t>ב. יש לנכות סכומים שנתקבלו למימון הנכס - כגון מענקים, גם הם משוקללים באופן יחסי ממועד קבלתם לתום שנה.</t>
  </si>
  <si>
    <t xml:space="preserve">הנכס. </t>
  </si>
  <si>
    <t>ד. סכום אשראי ספציפי זה יוכפל בשיעור ההיוון המשוקלל (אותו חישבנו בשאלה 2). כך מקבלים ערך שנקרא סכום</t>
  </si>
  <si>
    <t>תיאורטי להיוון.</t>
  </si>
  <si>
    <t>ו. נבחר בין הנמוך מבין (ד) ל-(ה) לשם קביעת רכיב עלויות המימון שיש להוון לנכס. השאר יוכר כהוצאה.</t>
  </si>
  <si>
    <t>תהליך העבודה האהוב על כולנו במידה רבה, הוא - מן הקל אל הכבד.</t>
  </si>
  <si>
    <t>לכן:</t>
  </si>
  <si>
    <t xml:space="preserve">בשלב הראשון - נדון באשראי הספציפי: בסך הוצאות הריבית ויתרת ההלוואה הספציפית. </t>
  </si>
  <si>
    <t xml:space="preserve">בשלב השני - נחשב את עלויות האשראי הלא ספציפי הכשירות להיוון. </t>
  </si>
  <si>
    <t>אם ההלוואה פשוטה, ניתן לחשב זאת ע״י סכום ההלוואה מוכפל בשיעור ריבית יחסית. אחרת, אפשר לייצר</t>
  </si>
  <si>
    <t>מעגל הלוואות כמו שלמדתם ביסודות החשבונאות עם המרצה הטובה יותר.</t>
  </si>
  <si>
    <t xml:space="preserve">בדרך זו, נוכל לרכז את עלות האשראי התקופתית בגין כל רכיב אשראי לא ספציפי, ואת היתרה הממוצעת של כל </t>
  </si>
  <si>
    <t>רכיב אשראי לא ספציפי.</t>
  </si>
  <si>
    <t>בשלב השלישי - נחשב את שיעור ההיוון המשוקלל. זאת על בסיס היחס בין סך עלויות האשראי הלא ספציפי</t>
  </si>
  <si>
    <t>לבין יתרה משוקללת של אשראי לא ספציפי.</t>
  </si>
  <si>
    <t>בשלב הרביעי - נחשב את עלות ההשקעה הממוצעת, וזאת על בסיס שיקלול לפי תאריכים של כל יציאה בגין</t>
  </si>
  <si>
    <r>
      <t xml:space="preserve">הנכס ממועד ביצועה ועד לתום התקופה. </t>
    </r>
    <r>
      <rPr>
        <b/>
        <sz val="12"/>
        <color theme="1"/>
        <rFont val="David"/>
      </rPr>
      <t>חשוב לזכור לנכות מכך ממוצע אשראי ספציפי</t>
    </r>
    <r>
      <rPr>
        <sz val="12"/>
        <color theme="1"/>
        <rFont val="David"/>
      </rPr>
      <t xml:space="preserve">.  </t>
    </r>
  </si>
  <si>
    <t>בשלב החמישי - נחשב עלות תיאורטית להיוון, על בסיס המכפלה של שיעור ההיוון המשוקלל בעלות ההשקעה</t>
  </si>
  <si>
    <t>הממוצעת לאחר נטרול מימון ספציפי. כך נקבל סכום תיאורטי להיוון. את זה נשווה לתקרה להיוון</t>
  </si>
  <si>
    <t xml:space="preserve">בהתאם לעלויות אשראי בפועל, לפי השלב השלישי. </t>
  </si>
  <si>
    <t>נתבסס על הנמוך מבינהם וכך נקבע איזה רכיב העלות יהוון לנכס ואיזה יושלך להוצאה כמו פח אשפה.</t>
  </si>
  <si>
    <t xml:space="preserve">איך גילינו שהאשראי ספציפי? משום שלפי ההגדרה והנתון - מדובר בהלוואה ספציפית ומסויימת שכל </t>
  </si>
  <si>
    <t>תכליתה הוא לשרת את היציאות בגין הקמת הנכס הכשיר הספציפי.</t>
  </si>
  <si>
    <t>תחילה, נחשב את סך הוצאות המימון בגין ההלוואה / אשראי ספציפי ״ברוטו״:</t>
  </si>
  <si>
    <t>סכום ההלוואה:</t>
  </si>
  <si>
    <t>ריבית שנתית</t>
  </si>
  <si>
    <t>חלק תקופה - 9 חודשים:</t>
  </si>
  <si>
    <t>עלויות מימון - 2021:</t>
  </si>
  <si>
    <t xml:space="preserve">6,000,000 * 6% * 0.75 = </t>
  </si>
  <si>
    <t xml:space="preserve">כנתון, ההלוואה ניטלה ב-31/3/2021. </t>
  </si>
  <si>
    <t>כעת, נחשב את הכנסות המימון בהתחשב במשיכות / בניצול ההדרגתי של כספי הפיקדון לאורך השנה:</t>
  </si>
  <si>
    <t>פקדון ״ראשוני״ 31.3.2021</t>
  </si>
  <si>
    <t>ניצול לפרויקט 1.4.2021</t>
  </si>
  <si>
    <t>יתרת פקדון 1.4.2021</t>
  </si>
  <si>
    <t>ניצולת כספי פקדון</t>
  </si>
  <si>
    <t>צבירת ריבית עד 1.7.2021</t>
  </si>
  <si>
    <t>הכנסת ריבית</t>
  </si>
  <si>
    <t>ניצול לפרויקט 1.7.2021</t>
  </si>
  <si>
    <t>יתרת פקדון 1.7.2021</t>
  </si>
  <si>
    <t>צבירת ריבית עד 1.10.2021</t>
  </si>
  <si>
    <t>ניצול לפרויקט 1.10.2021</t>
  </si>
  <si>
    <t>יתרת פקדון 1.10.2021</t>
  </si>
  <si>
    <t>צבירת ריבית עד 31.12.2021</t>
  </si>
  <si>
    <t>יתרת פקדון 31.12.2021</t>
  </si>
  <si>
    <t>כעת, נחשב את עלויות המימון נטו / הוצאות המימון נטו:</t>
  </si>
  <si>
    <t>עלויות מימון ברוטו</t>
  </si>
  <si>
    <t>הכנסות מימון ברוטו</t>
  </si>
  <si>
    <t xml:space="preserve">40,500 + 37,803.75 + 36,587 = </t>
  </si>
  <si>
    <t>שימו לב: הצורך לחשב עלויות מימון נטו נובע מהרצון להבין מהו ההיקף הכולל (נטו) של העלות המימונית</t>
  </si>
  <si>
    <t>שנוצרה לטובת ההקמה של נכס כשיר.</t>
  </si>
  <si>
    <t>עלויות אלו אינן נזקפות אוטומטית לרווח והפסד; למעשה, כל מהות התקן IAS 23 היא לטעון שאם עלות</t>
  </si>
  <si>
    <t>מימונית משוייכת וקשורה באופן ברור מאד לתהליך ההקמה של נכס כשיר, הרי שנזקוף עלות זו לנכס</t>
  </si>
  <si>
    <t>עצמו ולא נכיר בה כהוצאה.</t>
  </si>
  <si>
    <t>ברמה מסוימת, עיקרון זה עקבי למדי עם העובדה שגם עלויות הובלה למשל - הן חלק מעלות רכוש קבוע,</t>
  </si>
  <si>
    <t>גם עלויות שכר עבודה - של פועלים שמקימים בניין - הם חלק מעלות הבניין וכן הלאה.</t>
  </si>
  <si>
    <t>יתרת הנכס הכשיר (מכונת נקניק בהקמה) בדיווח הכספי (רכוש קבוע) ליום 31.12.2021:</t>
  </si>
  <si>
    <t>עלות 1.4</t>
  </si>
  <si>
    <t>עלות 1.7</t>
  </si>
  <si>
    <t>עלות 1.10</t>
  </si>
  <si>
    <t>עלות מימון להיוון לנכס בגין אשראי ספציפי</t>
  </si>
  <si>
    <t>סה״כ הצגה כנכס</t>
  </si>
  <si>
    <t xml:space="preserve"> אפשר גם לרשום כמספר אחד 1,200,000. אין בעיה!</t>
  </si>
  <si>
    <t xml:space="preserve">אני חייב להבין מהו שיעור ההיוון המשוקלל, לפני שאני מתחיל בכלל דיון בהיוון עלויות אשראי לא ספציפי. </t>
  </si>
  <si>
    <t>בכך עוסקת השאלה.</t>
  </si>
  <si>
    <t xml:space="preserve">א. לסכום את כל עלויות האשראי הכללי (כמו נקניק). </t>
  </si>
  <si>
    <t xml:space="preserve">ב. לחשב את הממוצע המשוקלל של האשראי הכללי לתקופה. זה פשוט יחסית: לוקחים כל רכיב אשראי, וכופלים אותו  </t>
  </si>
  <si>
    <t>בחלק היחסי של השנה שבמהלכה הוא היה תקף.</t>
  </si>
  <si>
    <t>משך</t>
  </si>
  <si>
    <t>אשראי משוקלל</t>
  </si>
  <si>
    <t>A</t>
  </si>
  <si>
    <t>B</t>
  </si>
  <si>
    <t>A * B</t>
  </si>
  <si>
    <t>סך עלויות</t>
  </si>
  <si>
    <t>שנת 2021:</t>
  </si>
  <si>
    <t>סך אשראי משוקלל לתקופה</t>
  </si>
  <si>
    <t>התקן מגדיר את שיעור ההיוון המשוקלל כך:</t>
  </si>
  <si>
    <t>סך עלויות אשראי כללי לתקופה</t>
  </si>
  <si>
    <t>סך סכום האשראי המשוקלל לתקופה</t>
  </si>
  <si>
    <t>=</t>
  </si>
  <si>
    <t>שיעור היוון משוקלל</t>
  </si>
  <si>
    <r>
      <t xml:space="preserve">בהמשך לנתוני שאלה 2, להלן סכומים שהושקעו בנכס כשיר ב-2021 </t>
    </r>
    <r>
      <rPr>
        <b/>
        <sz val="12"/>
        <color theme="1"/>
        <rFont val="David"/>
      </rPr>
      <t>שלא התקבל בגינו אשראי ספציפי:</t>
    </r>
  </si>
  <si>
    <t>כשדנים באשראי כללי / לא ספציפי חשוב מאד מבחינתי לבדוק כמה כסף בדיוק נוצל / יצא בכל שלב לטובת ההקמה.</t>
  </si>
  <si>
    <t>באשראי ספציפי (ראו תרגיל ראשון) החיים היו קלים: מחשבים את עלויות המימון נטו, מייחסים לנכס, ואיזה כיף.</t>
  </si>
  <si>
    <t xml:space="preserve">כשהאשראי לא ספציפי - למעשה ההסתכלות היא מחמירה יותר. חייבים לבדוק באופן נקודתי מה בדיוק שולם </t>
  </si>
  <si>
    <t>בהקמה ואיך מייחסים עלות כנגדו.</t>
  </si>
  <si>
    <t>יציאות</t>
  </si>
  <si>
    <t>שיקלול</t>
  </si>
  <si>
    <t>זמן</t>
  </si>
  <si>
    <t>בשנים</t>
  </si>
  <si>
    <t>לא תזרים 
שצריך לממן!</t>
  </si>
  <si>
    <t>משוקלל למימון</t>
  </si>
  <si>
    <t>כעת, טוען התקן שהסכום שיש להוון בגין אשראי ספציפי הוא הנמוך מבין שני הבאים:</t>
  </si>
  <si>
    <t>א. הסכום התיאורטי להיוון = שיעור היוון משוקלל כפול סכום משוקלל למימון:</t>
  </si>
  <si>
    <t xml:space="preserve">3.661% * 1,375,000 = </t>
  </si>
  <si>
    <t xml:space="preserve">שיעור היוון משוקלל </t>
  </si>
  <si>
    <t>אותו פתרנו בשאלה קודמת</t>
  </si>
  <si>
    <t>ראו לעיל</t>
  </si>
  <si>
    <t>ב. התקרה להיוון = סך עלויות האשראי הלא ספציפי בפועל:</t>
  </si>
  <si>
    <t>נתון בשאלה קודמת</t>
  </si>
  <si>
    <t>הנמוך מבין השניים - יש להוון לנכס:</t>
  </si>
  <si>
    <t>תשובה סופית</t>
  </si>
  <si>
    <t>ש״ח - יציאה</t>
  </si>
  <si>
    <r>
      <t xml:space="preserve">ב. התחייבויות נוספות של </t>
    </r>
    <r>
      <rPr>
        <b/>
        <sz val="12"/>
        <color theme="1"/>
        <rFont val="David"/>
      </rPr>
      <t>החברה</t>
    </r>
    <r>
      <rPr>
        <sz val="12"/>
        <color theme="1"/>
        <rFont val="David"/>
      </rPr>
      <t>:</t>
    </r>
  </si>
  <si>
    <t>הוצאות המימון בגין אשראי ספציפי - נתונות:</t>
  </si>
  <si>
    <t>הואיל וזהו אשראי ספציפי, והעלות - היא עלות נטו (אין הפקדה של תקבולי ביניים בפקדון וכיו״ב), עלות זו תתווסף</t>
  </si>
  <si>
    <t xml:space="preserve">לעלות מכונת הנקניק בהקמה. </t>
  </si>
  <si>
    <t>לטובת ההמשך - הדן באשראי לא ספציפי, ניעזר בנתון שגורס ש-60% מההשקעה ב-1/1/2022 שסכומה הכולל 100,000,</t>
  </si>
  <si>
    <t xml:space="preserve">מומנו באשראי ספציפי זה. </t>
  </si>
  <si>
    <t>&lt;&lt;&lt;&lt;</t>
  </si>
  <si>
    <t>מתוך זה: מימון ב-60,000 אשראי ספציפי, ו-40,000 לא ספציפי</t>
  </si>
  <si>
    <t>הוצאות מימון בגין הלוואת 1.1.2022, בשנת 2022:</t>
  </si>
  <si>
    <t xml:space="preserve">70,000 * 8% = </t>
  </si>
  <si>
    <t>הוצאות מימון בגין הלוואת 1.10.2022, בשנת 2022:</t>
  </si>
  <si>
    <t xml:space="preserve">100,000 * 6% * 3/12 = </t>
  </si>
  <si>
    <t>סך הוצאות המימון - 2022 - בגין אשראי לא ספציפי:</t>
  </si>
  <si>
    <t xml:space="preserve">70,000 * 1 = </t>
  </si>
  <si>
    <t>יתרה משוקללת אשראי לא ספציפי - הלוואת 1.1.2022:</t>
  </si>
  <si>
    <t>יתרה משוקללת אשראי לא ספציפי - 1.10.2022:</t>
  </si>
  <si>
    <t xml:space="preserve">100,000 * 3/12 = </t>
  </si>
  <si>
    <t>יתרה כוללת, משוקללת - אשראי לא ספציפי</t>
  </si>
  <si>
    <t>שיעור ההיוון המשוקלל:</t>
  </si>
  <si>
    <t>לפי ההגדרה - סך הוצאות המימון בגין אשראי לא ספציפי, חלקי יתרה כוללת, משוקללת - אשראי לא ספציפי:</t>
  </si>
  <si>
    <t xml:space="preserve">7,100 / 95,000 = </t>
  </si>
  <si>
    <t>בשלב הרביעי - נחשב את עלות ההשקעה הממוצעת (לא ספציפי), וזאת על בסיס שיקלול לפי תאריכים של כל יציאה בגין</t>
  </si>
  <si>
    <t>יחס - זמן</t>
  </si>
  <si>
    <t>ערך משוקלל</t>
  </si>
  <si>
    <t xml:space="preserve">60,000 * 1 = </t>
  </si>
  <si>
    <t>סה״כ ערך משוקלל שמהווה את הבסיס לעלות מימון תיאורטית</t>
  </si>
  <si>
    <t>עלות תיאורטית להיוון:</t>
  </si>
  <si>
    <r>
      <rPr>
        <sz val="12"/>
        <color rgb="FFFF0000"/>
        <rFont val="David"/>
      </rPr>
      <t>7.47%</t>
    </r>
    <r>
      <rPr>
        <sz val="12"/>
        <color theme="1"/>
        <rFont val="David"/>
      </rPr>
      <t xml:space="preserve"> * </t>
    </r>
    <r>
      <rPr>
        <b/>
        <sz val="12"/>
        <color theme="8" tint="-0.249977111117893"/>
        <rFont val="David"/>
      </rPr>
      <t>75,000</t>
    </r>
    <r>
      <rPr>
        <sz val="12"/>
        <color theme="1"/>
        <rFont val="David"/>
      </rPr>
      <t xml:space="preserve"> = </t>
    </r>
  </si>
  <si>
    <t>תקרת ההיוון = עלויות אשראי לא ספציפי בפועל - משלב 2:</t>
  </si>
  <si>
    <t xml:space="preserve">בשלב השישי - הערך שיהוון לנכס - בגין אשראי לא ספציפי -  הוא הנמוך מבין השניים </t>
  </si>
  <si>
    <t>כעת, נוכל לחשב את העלות הכוללת של הנכס, לאחר גילום עלויות האשראי שנדרש להוון אליו:</t>
  </si>
  <si>
    <t>סה״כ שולם</t>
  </si>
  <si>
    <t>עלות היציאות בגין הנכס</t>
  </si>
  <si>
    <t>הוסף - היוון בגין אשראי ספציפי</t>
  </si>
  <si>
    <t>הוסף - היוון בגין אשראי לא ספציפי</t>
  </si>
  <si>
    <t>סה״כ עלות הנכס להצגה בדוח על המצב הכספי</t>
  </si>
  <si>
    <t>סך עלויות מימון להיוון לנכס:</t>
  </si>
  <si>
    <t>חישוב עלות מימון</t>
  </si>
  <si>
    <t>משוקללת בחברה</t>
  </si>
  <si>
    <t>בגין אשראי לא ספציפי</t>
  </si>
  <si>
    <t>חשוב מאד: לנכות מהערך המשוקלל - אשראי ספציפי משוקלל - נתון</t>
  </si>
  <si>
    <t>ההלוואה מהווה חלק מאשראי ספציפי שהתקבל לצורך מימון הקמת מכונת חימום נקניק המהווה נכס כשיר.</t>
  </si>
  <si>
    <t>לכאורה, יש לחשב בצורה פשוטה למדי את עלויות המימון כולל הפרשי שער - ובהינתן שמדובר באשראי ספציפי,</t>
  </si>
  <si>
    <t xml:space="preserve">פשוט לכלול את כולן כמהוונות לעלות הנכס. </t>
  </si>
  <si>
    <t>אלא שהתקן קובע שלאור העובדה שההלוואה צמודת מט״ח / במט״ח, עלינו גם לבחון תקרה להיוון, בגובה</t>
  </si>
  <si>
    <t>אשראי שקלי מקביל.</t>
  </si>
  <si>
    <t>המשמעות הפרקטית: אם זיהיתי הלוואה מט״חית - עליי לבצע שני חישובים:</t>
  </si>
  <si>
    <t xml:space="preserve">א. עלויות המימון תכל׳ס. </t>
  </si>
  <si>
    <t xml:space="preserve">ב. עלויות מימון אלטרנטיביות בגין הלוואה שקלית בתנאים ״דומים״. </t>
  </si>
  <si>
    <t>יתרת הפתיחה של ההלוואה - מתורגמת לש״ח</t>
  </si>
  <si>
    <t xml:space="preserve">50,000 * 4= </t>
  </si>
  <si>
    <t>יתרת הסגירה של ההלוואה - מתורגמת לש״ח</t>
  </si>
  <si>
    <t>לשנה, המשולמת כל שנה.</t>
  </si>
  <si>
    <t xml:space="preserve">50,000 * 4.3 = </t>
  </si>
  <si>
    <t>תשלום הריבית - הנחה - תשלום בתום שנה</t>
  </si>
  <si>
    <t xml:space="preserve">50,000 * 5% * 4.3 = </t>
  </si>
  <si>
    <t>סך הוצאות המימון PN</t>
  </si>
  <si>
    <t>בעצם מה עשינו פה?</t>
  </si>
  <si>
    <t>דרך גנרית שתמיד עובדת לחילוץ סך הוצאות המימון, שיש לה ערך מוסף גבוה במיוחד בהלוואות צמודות, הנפרעות</t>
  </si>
  <si>
    <t xml:space="preserve">בתשלומים ועוד - מתבססת על ההבנה שניתן לצאת מיתרת הפתיחה, לנכות ממנה את כל התשלומים שבוצעו, ללא </t>
  </si>
  <si>
    <t>תלות במקורם או בשיוכם, וכל ההפרש בין יתרת הפתיחה בניכוי התשלומים לבין יתרת הסגירה - משקף הוצאות</t>
  </si>
  <si>
    <t>מימון התקופה.</t>
  </si>
  <si>
    <t>מעגל הלוואה:</t>
  </si>
  <si>
    <t>הוצאות המימון - טוטאל</t>
  </si>
  <si>
    <t>הוצאות ריבית</t>
  </si>
  <si>
    <t>הפרשי שער</t>
  </si>
  <si>
    <t>כעת, נפצל את סך הוצאות המימון בין ריבית לבין הפרשי שער:</t>
  </si>
  <si>
    <t>הפרשי שער - PN</t>
  </si>
  <si>
    <t>חושבו לעיל</t>
  </si>
  <si>
    <t>חולצו לעיל</t>
  </si>
  <si>
    <t>חילוץ כעת</t>
  </si>
  <si>
    <t>הואיל ומדובר בהלוואה במט״ח, טרם קביעת עלויות אשראי להיוון בגין האשראי הספציפי, עליי לחשב עלויות מימון</t>
  </si>
  <si>
    <t>אלטרנטיביות בהלוואה שקלית מקבילה.</t>
  </si>
  <si>
    <t>כנתון, הלוואה שקלית מקבילה נושאת ריבית בשיעור 8%:</t>
  </si>
  <si>
    <t xml:space="preserve">50,000 * 4 * 8% = </t>
  </si>
  <si>
    <t>שקלית</t>
  </si>
  <si>
    <t xml:space="preserve">האשראי הספציפי שיהוון הוא הנמוך מבין סך הוצאות המימון בהלוואה המט״חית, לבין סך הוצאות המימון </t>
  </si>
  <si>
    <t>במסלול השקלי:</t>
  </si>
  <si>
    <t xml:space="preserve">min (16,000 ; 25,750) = </t>
  </si>
  <si>
    <t>עלויות שניתן להוון:</t>
  </si>
  <si>
    <t>ריבית</t>
  </si>
  <si>
    <t>סכום להיוון</t>
  </si>
  <si>
    <t>הפרשי שער לדוח רווח והפסד:</t>
  </si>
  <si>
    <t>סה״כ הפרשי שער</t>
  </si>
  <si>
    <t>בניכוי הפרשי שער שהוונו</t>
  </si>
  <si>
    <t>הפרשי שער לרוו״ה</t>
  </si>
  <si>
    <t>סוגיות מדידה א - הרצאה 10  - חכירות חלק א</t>
  </si>
  <si>
    <t>חכירות - פן תיאורטי</t>
  </si>
  <si>
    <t>חכירות חלק א</t>
  </si>
  <si>
    <t>חכירות - יישומים בהדגש צד חוכר</t>
  </si>
  <si>
    <t>חכירות - יישומים בהדגש צד מחכיר</t>
  </si>
  <si>
    <t>כלל הדיון. נושא פשוט.</t>
  </si>
  <si>
    <t>סוגיות מדידה א - הרצאה 11  - חכירות חלק ב</t>
  </si>
  <si>
    <t>טיפול חשבונאי בספרי החוכר</t>
  </si>
  <si>
    <t>שאלה 1 - שיעור הריבית הגלום בחכירה</t>
  </si>
  <si>
    <t>בתאריך 1.1.2021 נחתם הסכם חכירה של מכונה לחימום נקניק ששוויה ההוגן באותו היום 100,000 ש״ח.</t>
  </si>
  <si>
    <t>להלן תנאי ההסכם:</t>
  </si>
  <si>
    <t xml:space="preserve">א. משך תקופת החכירה: 3 שנים. </t>
  </si>
  <si>
    <t xml:space="preserve">ב. התשלום בגין החכירה: 25,000 ש״ח, בתום כל שנה, במשך 3 שנים. התשלום הראשון ב-31.12.2021. </t>
  </si>
  <si>
    <t>ג. החוכר מתחייב להחזיר את המכונה למחכיר בתום תקופת החכירה, בשווי שלא יפחת מ-40,000 ש״ח.</t>
  </si>
  <si>
    <t>ערך השייר של המכונה מוערך במועד חתימת ההסכם ב-45,000 ש״ח.</t>
  </si>
  <si>
    <t>למחכיר נוצרו עלויות ראשוניות ישירות להשלמת העסקה בסך 3,465 ש״ח.</t>
  </si>
  <si>
    <t>א. מהו שיעור הריבית הגלומה בחכירה בהנחה שהמחכיר איננו יצרן או סוחר?</t>
  </si>
  <si>
    <t>ב. מהו שיעור הריבית הגלום בחכירה אם המחכיר הוא יצרן או סוחר?</t>
  </si>
  <si>
    <t>pv</t>
  </si>
  <si>
    <t>fv</t>
  </si>
  <si>
    <t>הריבית המחולצת</t>
  </si>
  <si>
    <t>מספר תשלומי החכירה</t>
  </si>
  <si>
    <t>סכום תשלום החכירה התקופתי</t>
  </si>
  <si>
    <t>שווי הוגן בתוספת עלויות עסקה - השקעה בחכירה</t>
  </si>
  <si>
    <t>ערך השייר המובטח + הלא מובטח</t>
  </si>
  <si>
    <t>שווי הוגן ללא עלויות עסקה</t>
  </si>
  <si>
    <t>ג. מהו סכום ההתחייבות בגין חכירה שבו יכיר החוכר, בהנחה שהמחכיר איננו יצרן או סוחר?</t>
  </si>
  <si>
    <t>אין צפי לתשלום בגין הערבות לערך השייר</t>
  </si>
  <si>
    <t>מספר התשלומים</t>
  </si>
  <si>
    <t>סכום ההתחייבות בגין חכירה</t>
  </si>
  <si>
    <t>שאלה 2 - מדידה עוקבת של התחייבות החכירה</t>
  </si>
  <si>
    <t>ב-1.1.2017 חתמה חברה על הסכם לחכירת מכונה לחימום נקניק ל-3 שנים תמורת 80,000 ש״ח שישולמו בתחילת</t>
  </si>
  <si>
    <t>כל שנה, מראש, עבור אותה שנה.</t>
  </si>
  <si>
    <t>שיעור הריבית הגלום בהסכם החכירה אשר ידוע לחברה הינו 5%.</t>
  </si>
  <si>
    <t>לחברה יש אופציה לרכוש את המכונה בתום התקופה תמורת 8,000 ש״ח.</t>
  </si>
  <si>
    <t>לאורך כל תקופת החכירה, ודאי באופן סביר שהאופציה לרכישה תמומש - ואכן התברר כי האופציה מומשה בפועל.</t>
  </si>
  <si>
    <t xml:space="preserve">החברה מתכוונת להשתמש במכונה במשך שנתיים נוספות מעבר לתקופת החכירה. </t>
  </si>
  <si>
    <t>החברה שילמה ב-1.1.2017 אגרות ישירות הקשורות להשלמת העסקה בסך 1,500 ש״ח.</t>
  </si>
  <si>
    <t>נדרש: הציגו סעיפים רלוונטיים המתייחסים לעסקה בדוחות הכספיים של החברה החוכרת לשנים 2017-2019.</t>
  </si>
  <si>
    <t>טיפול בשנת 2017</t>
  </si>
  <si>
    <t xml:space="preserve">בשנה זו, יש להכיר תחילה בנכס זכות שימוש לצד ההתחייבות בגין חכירה. </t>
  </si>
  <si>
    <t>לשם כך, נתחיל כרגיל במדידת ההתחייבות בגין חכירה, על בסיס נתוניה:</t>
  </si>
  <si>
    <t>יופי! הצעד הבא הוא להשתמש בהגדרה לפיה עלינו להתבסס גם על תשלומי חכירה נוספים בניכוי תמריצי חכירה.</t>
  </si>
  <si>
    <t>סך ההתחייבות בגין חכירה:</t>
  </si>
  <si>
    <t>עלויות עסקה ראשוניות:</t>
  </si>
  <si>
    <t>בניכוי תמריץ חכירה - ביטוח:</t>
  </si>
  <si>
    <t>סך הכל נכס זכות שימוש במדידה לראשונה:</t>
  </si>
  <si>
    <t>התחייבות בגין חכירה</t>
  </si>
  <si>
    <t>שלב א: מדידת ההתחייבות בגין חכירה (הבסיס הראשוני להכרה בהתחייבות ורכיב עיקרי של נכס זכות שימוש)</t>
  </si>
  <si>
    <t>שלב ב: התאמות ותוספות לנכס זכות שימוש - עלויות עסקה ראשונית ותמריצים:</t>
  </si>
  <si>
    <t>שלב ג: מדידת התחייבות בגין חכירה לתום התקופה על בסיס היוון ערכים עדכני (שיטת ריבית אפקטיבית):</t>
  </si>
  <si>
    <t>סך יתרת ההתחייבות בגין חכירה לתום 2017</t>
  </si>
  <si>
    <t>מתוך זה, התחייבות שוטפת:</t>
  </si>
  <si>
    <t>מתוך זה, התחייבות לא שוטפת</t>
  </si>
  <si>
    <t>שלב ה: פיצול ההתחייבות השוטפת בגין חכירה, ככל שרלוונטי, בין התחייבות שוטפת ולא שוטפת:</t>
  </si>
  <si>
    <t>שלב ד: חילוץ הוצאות מימון / מעגל התחייבויות - שיטת הריבית האפקטיבית:</t>
  </si>
  <si>
    <t>תשלום מיידי</t>
  </si>
  <si>
    <t>הוצ׳ מימון לשנה - PN</t>
  </si>
  <si>
    <t>שלב ו: מדידת נכס זכות השימוש</t>
  </si>
  <si>
    <t xml:space="preserve">בגין נכס זכות השימוש נדרש להכיר בהוצאות פחת. </t>
  </si>
  <si>
    <t>הואיל וקיימת אופציית רכישה - ועלות הנכס מגלמת אותה לאו סבירות מימושה, יש להפחית את הנכס על פני אורך</t>
  </si>
  <si>
    <t xml:space="preserve">החיים השימושיים שלו, שהנו 5 שנים. </t>
  </si>
  <si>
    <t>מדידת הוצאות הפחת שזהות לפחת הנצבר:</t>
  </si>
  <si>
    <t>תמריץ החכירה נמדד בנפרד כנכס הוצאות מראש</t>
  </si>
  <si>
    <t>דיווחים רלוונטיים - 2017</t>
  </si>
  <si>
    <t>נכס זכות שימוש</t>
  </si>
  <si>
    <t>בניכוי פחת נצבר</t>
  </si>
  <si>
    <t>נכס זכות שימוש, נטו</t>
  </si>
  <si>
    <t>הדוח על המצב הכספי</t>
  </si>
  <si>
    <t>דוח רווח והפסד</t>
  </si>
  <si>
    <t>הוצאות פחת</t>
  </si>
  <si>
    <t>הוצאות ביטוח</t>
  </si>
  <si>
    <t>הוצאות מימון</t>
  </si>
  <si>
    <t>טיפול בשנת 2018</t>
  </si>
  <si>
    <t>שלבים א ו-ב מתייתרים, לאור יישומם במועד התחילה בלבד. נמשיך בשלב ג וצפונה:</t>
  </si>
  <si>
    <t>התחייבות שוטפת בגין חכירה</t>
  </si>
  <si>
    <t>התחיביות לא שוטפת בגין חכירה</t>
  </si>
  <si>
    <t>סך יתרת ההתחייבות בגין חכירה לתום 2018</t>
  </si>
  <si>
    <t xml:space="preserve">דיווחים רלוונטיים - 2018 כולל מספרי השוואה </t>
  </si>
  <si>
    <t>התחייבות לא שוטפת בגין חכירה</t>
  </si>
  <si>
    <t>טיפול בשנת 2019</t>
  </si>
  <si>
    <t>תשלום אופציית רכישה</t>
  </si>
  <si>
    <t>יש לשים לב שהפעם, ניתוח התנועות כולל בהגדרה גם את התשלום בגין אופציית הרכישה שמבוצע בתום השנה.</t>
  </si>
  <si>
    <r>
      <t xml:space="preserve">שלב ג: ההתחייבות לתום התקופה </t>
    </r>
    <r>
      <rPr>
        <b/>
        <u/>
        <sz val="12"/>
        <color rgb="FF0070C0"/>
        <rFont val="David"/>
      </rPr>
      <t>מתאפסת</t>
    </r>
    <r>
      <rPr>
        <b/>
        <sz val="12"/>
        <color rgb="FF0070C0"/>
        <rFont val="David"/>
      </rPr>
      <t xml:space="preserve"> בהגדרה, כלל תשלומי החכירה שולמו. </t>
    </r>
  </si>
  <si>
    <r>
      <t xml:space="preserve">שלב ה: פיצול ההתחייבות השוטפת בגין חכירה, ככל שרלוונטי, בין התחייבות שוטפת ולא שוטפת: </t>
    </r>
    <r>
      <rPr>
        <b/>
        <u/>
        <sz val="12"/>
        <color rgb="FF0070C0"/>
        <rFont val="David"/>
      </rPr>
      <t>מתייתר</t>
    </r>
  </si>
  <si>
    <t>מדידת הוצאות הפחת שמתווספות לפחת הנצבר:</t>
  </si>
  <si>
    <t xml:space="preserve">דיווחים רלוונטיים - 2019 כולל מספרי השוואה </t>
  </si>
  <si>
    <t>שאלה 3 - שינויים בתשלומי החכירה ובריבית להיוון</t>
  </si>
  <si>
    <t xml:space="preserve">בתאריך 1.1.2017 חתם חוכר על הסכם לחכירת ציוד לחימום נקניק לתקופה של 10 שנים. </t>
  </si>
  <si>
    <t>דמי החכירה הם 50,000 ש״ח לשנה והם משולמים בתום כל שנה.</t>
  </si>
  <si>
    <t xml:space="preserve">תשלומי החכירה צמודים למדד. </t>
  </si>
  <si>
    <t>שיעור הריבית התוספתית של החוכר הוא כדלקמן:</t>
  </si>
  <si>
    <t>ריבית תוספתית</t>
  </si>
  <si>
    <t>להלן נתונים בדבר ערכי המדד:</t>
  </si>
  <si>
    <t>חודש</t>
  </si>
  <si>
    <t>מדד</t>
  </si>
  <si>
    <t>נדרש: הציגו סעיפים רלוונטיים לשנים 2017 ו-2018.</t>
  </si>
  <si>
    <t>לאור היות התשלומים צמודים למדד; ובהינתן השתנות המדד המובילה לשינוי הערכים; ובהינתן שהסיבה לשינוי</t>
  </si>
  <si>
    <t xml:space="preserve">איננה שינוי בשיעור הריבית, יש להוון את ההתחייבות המעודכנת לפי שיעור היוון מקורי. </t>
  </si>
  <si>
    <t>תשלום עדכני בגין חכירה לשנה:</t>
  </si>
  <si>
    <t>תשלום</t>
  </si>
  <si>
    <t>יתרת התחייבות לפי תנאי תשלום מקוריים / לפני השתנות הסכומים - 31/12/2017:</t>
  </si>
  <si>
    <t>יתרת התחייבות עדכנית - 31/12/2017 לאחר השתנות הסכומים:</t>
  </si>
  <si>
    <t>חישוב זה לשם חישוב רכיב ההשתנות בהתחייבות בגין חכירה שנייחס להערכה מחדש ולכן יירשם כנגד זכות</t>
  </si>
  <si>
    <t>שימוש ולא כנגד הוצאות מימון. עוד על כך, בסעיף ד שמקבל משנה תוקף בשאלה זו.</t>
  </si>
  <si>
    <t>אלמלא השינוי בסכומים / במדד:</t>
  </si>
  <si>
    <t>אלו הוצאות המימון שבהן נכיר; נכונה הטענה שהתשלום בפועל וההתחייבות בפועל שונה, אך ההשפעה על ערכים</t>
  </si>
  <si>
    <t>אלו נכנסת לסעיף נפרד של הערכה מחדש כנגד הכרה בגידול בנכס ולא כהוצאות מימון. ולכן, בניתוח השינויים</t>
  </si>
  <si>
    <t>העדכניים, נפעל כך כעת:</t>
  </si>
  <si>
    <t>הוצאות מימון לשנה - ראו לעיל</t>
  </si>
  <si>
    <t>הערכה מחדש של התחייבות</t>
  </si>
  <si>
    <t>גם כאן חל סיבוך, הואיל והשתנו הסכומים ובהתאם יתרת ההתחייבות, יש לבצע פריסה מחדש של רכיב הקרן שיסולק</t>
  </si>
  <si>
    <t xml:space="preserve">במסגרת תשלום דמי החכירה בשנה העוקבת. נבהיר כיצד עושים זאת, לאט ובעדינות. </t>
  </si>
  <si>
    <t>per</t>
  </si>
  <si>
    <t xml:space="preserve">ppmt </t>
  </si>
  <si>
    <t>אין כאן דיון באופציית רכישה, לכן קליל.</t>
  </si>
  <si>
    <t>יחד עם זאת, בשונה משאלה קודמת, יש להכיר גם בעלייה בנכס זכות השימוש כתוצאה מהמדידה מחדש של ההתחייבות.</t>
  </si>
  <si>
    <t>נכס זכות שימוש - יתרת פתיחה</t>
  </si>
  <si>
    <t xml:space="preserve">הוצאות פחת </t>
  </si>
  <si>
    <t>נכס זכות שימוש - יתרת סגירה</t>
  </si>
  <si>
    <t>יתרת התחייבות עדכנית - 31/12/2018 לאחר השתנות הסכומים:</t>
  </si>
  <si>
    <t>יתרת התחייבות לפי תנאי תשלום מקוריים / לפני השתנות הסכומים - 31/12/2018:</t>
  </si>
  <si>
    <t>דיווחים רלוונטיים - 2018 (כולל מספרי השוואה)</t>
  </si>
  <si>
    <t>בתאריך 1.1.2017 חתם חוכר על הסכם לחכירת מכונה לחימום נקניק לתקופה של 10 שנים.</t>
  </si>
  <si>
    <t>כמו כן קובע ההסכם אופציית הארכה ל-3 שנים נוספות.</t>
  </si>
  <si>
    <t>תשלומי החכירה בתקופת החכירה הראשנית: 50,000 ש״ח לשנה.</t>
  </si>
  <si>
    <t>תשלומי החכירה בתקופת האופציה: 55,000 ש״ח לשנה.</t>
  </si>
  <si>
    <t>התשלומים מבוצעים בתחילת כל שנה.</t>
  </si>
  <si>
    <t xml:space="preserve">לחוכר התהוו עלויות עסקה בסך 20,000 ש״ח. </t>
  </si>
  <si>
    <t>כדי לעודד את החוכר המחכיר הסכים לשלם עבורו 5,000 ש״ח מתוך סכום זה וכן להשביח את המכונה על חשבונו בעלות</t>
  </si>
  <si>
    <t>של 7,000 ש״ח.</t>
  </si>
  <si>
    <t>בתחילת תקופת החכירה מעריך החוכר כי אין זה סביר שהאופציה תמומש.</t>
  </si>
  <si>
    <t xml:space="preserve">שיעור הריבית הגלום בחכירה איננו ניתן לקביעה בנקבל ושיעור הריבית התוספתית של החוכר עבור ההתחייבות </t>
  </si>
  <si>
    <t>בתנאים דומים הנו 5%.</t>
  </si>
  <si>
    <t xml:space="preserve">בשנת 2022, החוכר שינה את היקף פעילותו העסקית ולכן נכון לתום השנה הוא מעריך שודאי באופן סביר כי אופצית </t>
  </si>
  <si>
    <t xml:space="preserve">ההערכה תמומש. שיעור הריבית התוספתית של החוכר בתום שנה זו הינו 6%. </t>
  </si>
  <si>
    <t>שאלה 4 - אופציית הארכה ושינויים בצפי מימוש האופציה</t>
  </si>
  <si>
    <t>הוסף - עלויות עסקה</t>
  </si>
  <si>
    <t>נכה - תמריצים</t>
  </si>
  <si>
    <t>סה״כ נכס זכות שימוש</t>
  </si>
  <si>
    <t>לתשומת לבכם, כי השיפוץ איננו בגדר תמריץ חכירה. מדוע? משום שעקרונית ההתייחסות לכך היא כאל עלות שהמחכיר</t>
  </si>
  <si>
    <t>היה חייב לשאת בה על מנת למסור נכס במצב תקין. זאת לעומת השיפוי בעד עלויות עסקה, שהוא לחלוטין תמריץ חכירתי</t>
  </si>
  <si>
    <t>הואיל וקיימת אופציית רכישה - ועלות לא מגלמת אותה לאור היעדר סבירות מימושה, הנכס יופחת על פני</t>
  </si>
  <si>
    <t>תקופת החכירה קרי 10 שנים.</t>
  </si>
  <si>
    <t>הוצאות הפחת שמתווספות לפחת הנצבר:</t>
  </si>
  <si>
    <t xml:space="preserve">חשבו סעיפים רלוונטיים בדוחות הכספיים לשנת 2017, והציגו את היתרות המאזניות (בלבד) בגין הנכס לתום 2022.  </t>
  </si>
  <si>
    <t>בהינתן השינוי המהותי שחל בצפי התזרימים בהינתן צפי מימוש אופציית ההארכה, תחיל מחישוב בסיסי של היתרות</t>
  </si>
  <si>
    <t>המאזניות בגין הנכס לפני השינוי, ליום 31.12.2022:</t>
  </si>
  <si>
    <t>כמו כן, נחשב את יתרת ההתחייבות בגין חכירה למועד זה, תוך שימוש בשיעור היוון מעודכן. הצורך בשינוי שיעור</t>
  </si>
  <si>
    <t>השימוש בשיעור היוון מעודכן נובע משינוי תקופת החכירה.</t>
  </si>
  <si>
    <t>כמו כן, בהינתן שהתשלומים משתנים, חישוב ערכם הנוכחי ראוי שיבוצע באמצעות פונקציית NPV יתירה על באמצעות</t>
  </si>
  <si>
    <t>פונקציית PV, כדלקמן:</t>
  </si>
  <si>
    <t>תאריך תשלום</t>
  </si>
  <si>
    <t>סכום תזרים</t>
  </si>
  <si>
    <t>יתרת התחייבות עדכנית</t>
  </si>
  <si>
    <t>ֿ</t>
  </si>
  <si>
    <t>התחייבות - רכיב שוטף</t>
  </si>
  <si>
    <t>התחייבות - רכיב לא שוטף</t>
  </si>
  <si>
    <t>יתרת התחייבות מקורית</t>
  </si>
  <si>
    <t>שיעור היוון עדכני:</t>
  </si>
  <si>
    <t>שיעור היוון מקורי:</t>
  </si>
  <si>
    <t>עלייה בהתחייבות כתוצאה מהערכה מחדש:</t>
  </si>
  <si>
    <t>הדוח על המצב הכספי ליום 31/12/2022</t>
  </si>
  <si>
    <t>טיפול בשנת 2022 - יתרות מאזניות בלבד</t>
  </si>
  <si>
    <t>תרשים מסכם של סוגיות תיקוני חכירה</t>
  </si>
  <si>
    <t>על פי הגדרת התקן, אם המחכיר איננו יצרן או סוחר - העלויות הנדרשות מאת המחכיר כדי להוציא את העסקה אל הפועל,</t>
  </si>
  <si>
    <t xml:space="preserve">הן חלק מ״ההשקעה בחכירה״ (PV). </t>
  </si>
  <si>
    <t>הואיל והמחכיר איננו יצרן או סוחר, לטובת PV נסכום את שני הערכים:</t>
  </si>
  <si>
    <t xml:space="preserve">שווי הוגן של נכס הבסיס בחכירה - נתון שווי הוגן </t>
  </si>
  <si>
    <t>עלויות ישירות נוספות להשלמת העסקה - נתון</t>
  </si>
  <si>
    <t>סך הכל השקעה בחכירה - PV</t>
  </si>
  <si>
    <t>מבחינת המחכיר - זהו הסכום / השווי הכולל שהוא ״מוסר״ או ״משלם״, ולכן מסומן בסימן שלילי.</t>
  </si>
  <si>
    <r>
      <t xml:space="preserve">הריבית המחולצת - </t>
    </r>
    <r>
      <rPr>
        <b/>
        <sz val="12"/>
        <color theme="1"/>
        <rFont val="David"/>
      </rPr>
      <t>הנדרש</t>
    </r>
  </si>
  <si>
    <t xml:space="preserve">לא תכללנה ב - PV שיוזן לצורך חילוץ הריבית. </t>
  </si>
  <si>
    <r>
      <t xml:space="preserve">התקן קובע כי אם המחכיר הוא </t>
    </r>
    <r>
      <rPr>
        <b/>
        <sz val="12"/>
        <color theme="1"/>
        <rFont val="David"/>
      </rPr>
      <t>כן</t>
    </r>
    <r>
      <rPr>
        <sz val="12"/>
        <color theme="1"/>
        <rFont val="David"/>
      </rPr>
      <t xml:space="preserve"> יצרן או סוחר, אזי עלויות נוספות להשלמת העסקה אינן חלק מההשקעה בחכירה, ובהתאם</t>
    </r>
  </si>
  <si>
    <t>שיעור הריבית הגלום בחכירה - בהנחה שאיננו יצרן / סוחר, ראו סעיף א</t>
  </si>
  <si>
    <r>
      <t xml:space="preserve">ג. מהו סכום ההתחייבות בגין חכירה שבו יכיר </t>
    </r>
    <r>
      <rPr>
        <u/>
        <sz val="12"/>
        <color theme="1"/>
        <rFont val="David"/>
      </rPr>
      <t>החוכר</t>
    </r>
    <r>
      <rPr>
        <sz val="12"/>
        <color theme="1"/>
        <rFont val="David"/>
      </rPr>
      <t>, בהנחה שהמחכיר איננו יצרן או סוחר?</t>
    </r>
  </si>
  <si>
    <t>מדוע ה - FV של החוכר 0?</t>
  </si>
  <si>
    <t xml:space="preserve">חשוב לזכור: מנקודת ראות החוכר מטרתנו היא לזהות את תזרימי המזומנים שלו. </t>
  </si>
  <si>
    <t>אין ספק שהחוכר אכן ישלם כל שנה 3 שנים סכום של 25,000 - במזומן.</t>
  </si>
  <si>
    <t xml:space="preserve">אלא שלגבי עיתוי סיום עסקת החכירה, החוכר לא צריך לשלם שום דבר נוסף - אלא רק להחזיר את הנכס (לא תזרים). </t>
  </si>
  <si>
    <t xml:space="preserve">זאת משום שנתון שהערך הצפוי לנכס בתום החכירה הוא 45,000, והמחכיר דורש שווי בהחזרה של 40,000 </t>
  </si>
  <si>
    <t>ומשום כך, החוכר לא צריך לשלם שום ״השלמה לשווי״ בתום התקופה.</t>
  </si>
  <si>
    <t>אם, לעומת זאת, היה נתון שהערך הצפוי לנכס בתום תקופת החכירה הוא 34,000 ש״ח, והמחכיר דורש שווי</t>
  </si>
  <si>
    <t>בהחזרה של 40,000: אזי צפוי תזרים יוצא לחוכר בתום העסקה:</t>
  </si>
  <si>
    <t>FV = -6000</t>
  </si>
  <si>
    <t xml:space="preserve">ספק המכונה מממן לכל מי שחותם על הסכם כזה ביטוח חובה חינם לשנה ששוויו 2,500 ש״ח. </t>
  </si>
  <si>
    <t>ריבית גלומה בחכירה - נתון</t>
  </si>
  <si>
    <t>מספר תשלומי החכירה הקבועים - נתון</t>
  </si>
  <si>
    <t>גובהו של כל תשלום חכירה (לחוכר, לכן במינוס) - נתון</t>
  </si>
  <si>
    <t>פתרון - חשוב לשים לב: ההתייחסות היא לחוכר בלבד</t>
  </si>
  <si>
    <t>כי קיימת אופציית רכישה שהחוכר צופה לממש - וזו עלותה</t>
  </si>
  <si>
    <t xml:space="preserve">חישוב ערך נוכחי - התחייבות בגין חכירה </t>
  </si>
  <si>
    <t xml:space="preserve">כל הערכים הוזנו בהתאם לפונקציית PV, בפרמטר Type הוזן 1 משום שהתשלומים כנתון הם בתחילת כל תקופה. </t>
  </si>
  <si>
    <t>שלב ב: התאמות ותוספות להתחייבות בגין חכירה - כדי לחשב את נכס זכות השימוש - עלויות עסקה ראשונית ותמריצים:</t>
  </si>
  <si>
    <t>אגרות נוספות שהחוכר נדרש לשלם</t>
  </si>
  <si>
    <t>בשלב זה, עלינו למדוד מחדש את ההתחייבות ליום 31/12/2017 וזאת בהתאם למספר תזרימי החכירה שנותרו לביצוע,</t>
  </si>
  <si>
    <r>
      <t xml:space="preserve">בריבית היוון </t>
    </r>
    <r>
      <rPr>
        <b/>
        <sz val="12"/>
        <color theme="1"/>
        <rFont val="David"/>
      </rPr>
      <t>מקורית</t>
    </r>
    <r>
      <rPr>
        <sz val="12"/>
        <color theme="1"/>
        <rFont val="David"/>
      </rPr>
      <t xml:space="preserve">. </t>
    </r>
  </si>
  <si>
    <t>הריבית המקורית שנקבעה בחתימת ההסכם</t>
  </si>
  <si>
    <t>מספר התשלומים שנותרו</t>
  </si>
  <si>
    <t>דמי חכירה קבועים נתונים</t>
  </si>
  <si>
    <t>תשלום בעד מימוש צפוי של אופציית רכישה</t>
  </si>
  <si>
    <t>כפי שנקבעה במועד חתימת ההסכם, שלב א</t>
  </si>
  <si>
    <t>כפי שנקבעה ל-31/12/2017 בשלב ג</t>
  </si>
  <si>
    <t>התשלום הקרוב, ב-1.1.2018</t>
  </si>
  <si>
    <t>ראו סעיף ד</t>
  </si>
  <si>
    <t>ההפרש</t>
  </si>
  <si>
    <t xml:space="preserve">234,664 / 5 = </t>
  </si>
  <si>
    <t>שלבים א (חישוב יתרת התחייבות מקורית) ו-ב (עלות נכס זכות שימוש) מתייתרים, לאור יישומם במועד התחילה בלבד.</t>
  </si>
  <si>
    <t xml:space="preserve"> נמשיך בשלב ג וצפונה - לטובת מדידה עוקבת:</t>
  </si>
  <si>
    <t>כי בשנה הבאה הכל נגמר!</t>
  </si>
  <si>
    <t>לא ניתן לקבוע בנקל את שיעור הריבית הגלומה בחכירה.</t>
  </si>
  <si>
    <t>תזרימים בתום כל תקופה, ג׳ידיל</t>
  </si>
  <si>
    <t xml:space="preserve">לא רלוונטי יאייי - אין כאן עלויות עסקה ראשוניות נוספות למחכיר (שׁיש להוסיף) ואין תמריצים (שיש לנכות). </t>
  </si>
  <si>
    <t>יש להוון מחדש את התשלומים המעודכנים.</t>
  </si>
  <si>
    <t xml:space="preserve">לאור היות התשלומים צמודים למדד; ובהינתן השתנות המדד המובילה לשינוי הערכים (התשלומים); </t>
  </si>
  <si>
    <t xml:space="preserve">ובהינתן שהסיבה לשינוי איננה שינוי בשיעור הריבית, יש להוון את ההתחייבות המעודכנת לפי שיעור היוון מקורי. </t>
  </si>
  <si>
    <t xml:space="preserve">50,000 * 115 / 110 = </t>
  </si>
  <si>
    <t>דמי חכירה לפני הצמדה</t>
  </si>
  <si>
    <t>היחס בין</t>
  </si>
  <si>
    <t>מדד עדכני</t>
  </si>
  <si>
    <t>למדד הבסיס</t>
  </si>
  <si>
    <t>חלפה שנת תשלום 1 מתוך 10</t>
  </si>
  <si>
    <t>אין כאן תשלום חד פעמי בתום התקופה כגון מימוש אופ׳ רכישה</t>
  </si>
  <si>
    <r>
      <rPr>
        <u/>
        <sz val="12"/>
        <rFont val="David"/>
      </rPr>
      <t>אלמלא</t>
    </r>
    <r>
      <rPr>
        <sz val="12"/>
        <rFont val="David"/>
      </rPr>
      <t xml:space="preserve"> השינוי בסכומים / במדד:</t>
    </r>
  </si>
  <si>
    <t>תשלום בפועל כולל הצמדה</t>
  </si>
  <si>
    <t>נזקף במקביל לנכס זכות שימוש</t>
  </si>
  <si>
    <t>שלבי העבודה שיישמתי:</t>
  </si>
  <si>
    <t xml:space="preserve">גיליתי שינוי סכומים (בעקבות עלייה במדד). </t>
  </si>
  <si>
    <t>חישבתי יתרת התחייבות בהתייחס לעליית המדד, ובלעדיה.</t>
  </si>
  <si>
    <t>בהתבסס על מעגל התחייבות ללא עלייה במדד והשפעותיה - חישבתי הוצאות מימון.</t>
  </si>
  <si>
    <t>בהתבסס על מעגל התחייבויות עם עליית מדד, שיבצתי את הוצאות המימון, וכל ה - PN מהווה הערכה מחדש של התחייבות,</t>
  </si>
  <si>
    <t>שלפי התקן איננה הוצאה אלא מגדילה את נכס זכות השימוש.</t>
  </si>
  <si>
    <r>
      <t xml:space="preserve">גם כאן חל סיבוך, הואיל </t>
    </r>
    <r>
      <rPr>
        <b/>
        <sz val="12"/>
        <color theme="1"/>
        <rFont val="David"/>
      </rPr>
      <t>והשתנו הסכומים ובהתאם יתרת ההתחייבות</t>
    </r>
    <r>
      <rPr>
        <sz val="12"/>
        <color theme="1"/>
        <rFont val="David"/>
      </rPr>
      <t xml:space="preserve">, יש </t>
    </r>
    <r>
      <rPr>
        <u/>
        <sz val="12"/>
        <color theme="1"/>
        <rFont val="David"/>
      </rPr>
      <t>לבצע פריסה מחדש</t>
    </r>
    <r>
      <rPr>
        <sz val="12"/>
        <color theme="1"/>
        <rFont val="David"/>
      </rPr>
      <t xml:space="preserve"> של </t>
    </r>
    <r>
      <rPr>
        <u/>
        <sz val="12"/>
        <color theme="1"/>
        <rFont val="David"/>
      </rPr>
      <t>רכיב הקרן</t>
    </r>
    <r>
      <rPr>
        <sz val="12"/>
        <color theme="1"/>
        <rFont val="David"/>
      </rPr>
      <t xml:space="preserve"> שיסולק</t>
    </r>
  </si>
  <si>
    <t xml:space="preserve">דרכי למצוא את רכיב הקרן בגין התחייבות ארוכת טווח שייפרע בזמן הקצר - יתבסס על פונקציית האקסל ppmt. </t>
  </si>
  <si>
    <t xml:space="preserve">מדובר בפונקציה שהיא ראשי תיבות של principal payment. </t>
  </si>
  <si>
    <t>זו פונקציה שיודעת להחזיר כפלט מהסדר התחייבות הנפרע בתשלומים שווים (״סטייל שפיצר״) את רכיב הקרן שייפרע</t>
  </si>
  <si>
    <t>בשוטף, ללא חישוב נפרד:</t>
  </si>
  <si>
    <t>הריבית הרלוונטית</t>
  </si>
  <si>
    <t>סכום / יתרת התחייבות</t>
  </si>
  <si>
    <t>סכום בתום התקופה</t>
  </si>
  <si>
    <t>מספר התשלום הבא</t>
  </si>
  <si>
    <t>הואיל ובפן החשבונאי מטרתנו היא תמיד לחשב</t>
  </si>
  <si>
    <t>את רכיב הקרן של ״השנה הבאה״ כדי להציגו</t>
  </si>
  <si>
    <t xml:space="preserve">כהתחייבות שוטפת, ב - per של ppmt </t>
  </si>
  <si>
    <t>נרשום תמיד 1</t>
  </si>
  <si>
    <t>עדכנית</t>
  </si>
  <si>
    <t>אין כאן דיון באופציית רכישה, בהיבט אורך החיים / תקופת ההפחתה, לכן הדיון בהפחתה קליל.</t>
  </si>
  <si>
    <t xml:space="preserve">386,087 / 10 = </t>
  </si>
  <si>
    <t>ראו PN כפי שחושב בשלב ד</t>
  </si>
  <si>
    <t>נכס זכות שימוש (*)</t>
  </si>
  <si>
    <t>עלות נכס זכות שימוש תכלול את עלותו כפי שנמדדה במועד תחילת הסכם החכירה,</t>
  </si>
  <si>
    <t>בתוספת ההשפעות של הערכה מחדש של התחייבויות.</t>
  </si>
  <si>
    <t>כאן:</t>
  </si>
  <si>
    <t xml:space="preserve">386,087 + 18,427 = </t>
  </si>
  <si>
    <t>להשלים לבד בבית, אותו עיקרון</t>
  </si>
  <si>
    <t>לבית</t>
  </si>
  <si>
    <t>סוגיות מדידה א - הרצאה 12  - חכירות חלק ג</t>
  </si>
  <si>
    <t>חכירה תפעולית</t>
  </si>
  <si>
    <t>חכירה מימונית</t>
  </si>
  <si>
    <t>תנאי:</t>
  </si>
  <si>
    <t>כל הסיכונים וההטבות הנלווים</t>
  </si>
  <si>
    <t>לבעלות על הנכס עוברים לחוכר.</t>
  </si>
  <si>
    <r>
      <t>לא</t>
    </r>
    <r>
      <rPr>
        <sz val="12"/>
        <color theme="1"/>
        <rFont val="David"/>
      </rPr>
      <t xml:space="preserve"> כל הסיכונים וההטבות הנלווים</t>
    </r>
  </si>
  <si>
    <t xml:space="preserve">רווח מעליית ערך / מימוש ערך שייר. </t>
  </si>
  <si>
    <t>ספרי מחכיר - חכירה מימונית - אינדיקטורים בלבד</t>
  </si>
  <si>
    <t>החכירה</t>
  </si>
  <si>
    <t>מלווה</t>
  </si>
  <si>
    <t>בהעברת</t>
  </si>
  <si>
    <t>בעלות</t>
  </si>
  <si>
    <t>בתום החכירה</t>
  </si>
  <si>
    <t xml:space="preserve">קיימת </t>
  </si>
  <si>
    <t xml:space="preserve">אופציה </t>
  </si>
  <si>
    <t>רכישה</t>
  </si>
  <si>
    <t>שסביר</t>
  </si>
  <si>
    <t>בהתקשרות</t>
  </si>
  <si>
    <t>שתמומש</t>
  </si>
  <si>
    <t xml:space="preserve">תקופת </t>
  </si>
  <si>
    <t>היא רוב</t>
  </si>
  <si>
    <t>אורך חיי</t>
  </si>
  <si>
    <t xml:space="preserve">הנכס </t>
  </si>
  <si>
    <t>בפרקטיקה:</t>
  </si>
  <si>
    <t>הערך הנוכחי</t>
  </si>
  <si>
    <t>של תשלומי</t>
  </si>
  <si>
    <t>הוא השווי</t>
  </si>
  <si>
    <t>ההוגן</t>
  </si>
  <si>
    <t>נכס הבסיס</t>
  </si>
  <si>
    <t xml:space="preserve">בעל מהות </t>
  </si>
  <si>
    <t>ייחודית</t>
  </si>
  <si>
    <t>החוכר יכול</t>
  </si>
  <si>
    <t>לבטל את</t>
  </si>
  <si>
    <t xml:space="preserve">החכירה </t>
  </si>
  <si>
    <t xml:space="preserve">ונושא </t>
  </si>
  <si>
    <t>בהפסדי</t>
  </si>
  <si>
    <t>המחכיר</t>
  </si>
  <si>
    <t>ביחס לביטול</t>
  </si>
  <si>
    <t>החוכר</t>
  </si>
  <si>
    <t>חשוף לשינויים</t>
  </si>
  <si>
    <t>בערך השייר</t>
  </si>
  <si>
    <t>של הפריט</t>
  </si>
  <si>
    <t>קיימת יכולת</t>
  </si>
  <si>
    <t>להמשיך</t>
  </si>
  <si>
    <t>את החכירה</t>
  </si>
  <si>
    <t>בדמי חכירה</t>
  </si>
  <si>
    <t>מופחתים</t>
  </si>
  <si>
    <t>שאלה לקהל</t>
  </si>
  <si>
    <t xml:space="preserve">אם ידוע שהבעלות על נכס הבסיס עוברת בתום תקופת החכירה לחוכר, אך זאת בתמורה לסכום משתנה השווה לשווי </t>
  </si>
  <si>
    <t>ההוגן באותו מועד, אזי החכירה:</t>
  </si>
  <si>
    <t>א. תפעולית</t>
  </si>
  <si>
    <t>ב. מימונית</t>
  </si>
  <si>
    <t>התשובה:</t>
  </si>
  <si>
    <t>תפעולית</t>
  </si>
  <si>
    <t>טיפול בחכירה תפעולית</t>
  </si>
  <si>
    <t>על בסיס</t>
  </si>
  <si>
    <t>קו ישר</t>
  </si>
  <si>
    <t>אלא אם</t>
  </si>
  <si>
    <t>יש סיבה טובה</t>
  </si>
  <si>
    <t>להניח אחרת</t>
  </si>
  <si>
    <t>הכנסה תוכר</t>
  </si>
  <si>
    <t>הכרה</t>
  </si>
  <si>
    <t>בהוצאות</t>
  </si>
  <si>
    <t>בגין חכירה</t>
  </si>
  <si>
    <t>לרבות פחת</t>
  </si>
  <si>
    <t>והתחשבות</t>
  </si>
  <si>
    <t>בירידת ערך</t>
  </si>
  <si>
    <t xml:space="preserve">עלויות </t>
  </si>
  <si>
    <t xml:space="preserve">להשגת </t>
  </si>
  <si>
    <t>חכירה יהוונו</t>
  </si>
  <si>
    <t xml:space="preserve">ויופחתו </t>
  </si>
  <si>
    <t>גם הן</t>
  </si>
  <si>
    <t>אין להכיר</t>
  </si>
  <si>
    <t>ברווח ממכירה</t>
  </si>
  <si>
    <t>במועד</t>
  </si>
  <si>
    <t>ההתקשרות</t>
  </si>
  <si>
    <t>סיווג הנכס</t>
  </si>
  <si>
    <t>למהות הפריט</t>
  </si>
  <si>
    <t>תוך הפרדה</t>
  </si>
  <si>
    <t>בהתאם</t>
  </si>
  <si>
    <t xml:space="preserve">מופחתת בשיטת הקו הישר. </t>
  </si>
  <si>
    <t xml:space="preserve">ביום 1.1.2017 החברה חתמה על הסכם להחכרת המכונה ל-3 שנים. </t>
  </si>
  <si>
    <t>בהתאם להסכם דמי השכירות ב-2017 יהיו 22,000 ש״ח והם ישולמו בסוף השנה, והם יעלו בשיעור 15% לכל שנת</t>
  </si>
  <si>
    <t xml:space="preserve">שכירות עוקבת. </t>
  </si>
  <si>
    <t xml:space="preserve">החברה שילמה לעו״ד שערך את ההסכם סכום של 6,000 ש״ח. </t>
  </si>
  <si>
    <t xml:space="preserve">השווי ההוגן של הציוד ליום 1.1.2017 גבוה משמעותית מהערך הנוכחי של תשלומי החכירה. </t>
  </si>
  <si>
    <t xml:space="preserve">הציגו סעיפים רלוונטיים בדיווח הכספי של המחכירה עבור השנים 2017, 2018 ו-2019. </t>
  </si>
  <si>
    <t xml:space="preserve">מדובר בחכירה תפעולית, הואיל והנכס איננו עובר לבעלות החוכר, אין אופציה לרכישה. </t>
  </si>
  <si>
    <t xml:space="preserve">לפיכך, תקופת החכירה היא כ-37.5% = 3/8 בלבד מאורך החיים הנותר עבור הנכס. </t>
  </si>
  <si>
    <t>בתאריך 1.1.2015 חברה רכשה מכונה לחימום נקניק תמורת 180,000 ש״ח. אורך חייה הכלכליים 10 שנים והיא</t>
  </si>
  <si>
    <t xml:space="preserve">לא זאת גם זאת; השווי ההוגן של הציוד גבוה משמעותית מהערך הנוכחי של תשלומי החכירה. </t>
  </si>
  <si>
    <t>בסך הכל, כל האינדיקציות ״דוחפות״ לכך שהחכירה איננה מימונית.</t>
  </si>
  <si>
    <t>ואם כך - ווהו, מדובר בחכירה תפעולית. תודה.</t>
  </si>
  <si>
    <t>שלב ראשון: זיהינו שמדובר בספרי המחכיר ולכן השאלה היא, האם מדובר בחכירה מימונית או תפעולית? לנמק!!!</t>
  </si>
  <si>
    <t>שלב שני: הכרה בהכנסה בשיטת הקו הישר אלא אם יש סיבה טובה מאד להניח אחרת!</t>
  </si>
  <si>
    <t>אין סיבה טובה להניח שההכרה בהכנסה לא תהיה בשיטת הקו הישר. לפיכך, יש לסכום את דמי החכירה לכל השנים</t>
  </si>
  <si>
    <t xml:space="preserve">יחד, ולפרוס אותן על פני תקופת החכירה שהיא 3 שנים. </t>
  </si>
  <si>
    <t>דמי חכירה - 2017</t>
  </si>
  <si>
    <t>דמי חכירה - 2018</t>
  </si>
  <si>
    <t>דמי חכירה - 2019</t>
  </si>
  <si>
    <t>סכום ההכנסה שיוכר כל שנה:</t>
  </si>
  <si>
    <t>שלב שלישי: זיהוי ההשפעה המאזנית המצטברת בין התקבולים לבין ההכנסות שהוכרו</t>
  </si>
  <si>
    <t>הכנסה</t>
  </si>
  <si>
    <t>התקבל</t>
  </si>
  <si>
    <t>הפרש מצטבר</t>
  </si>
  <si>
    <t>סוג</t>
  </si>
  <si>
    <t>הכנסות לקבל</t>
  </si>
  <si>
    <t>שלב רביעי: טיפול בעלויות חכירה, היוון לנכס והפחתתו</t>
  </si>
  <si>
    <t xml:space="preserve">יש לזכור כי עלויות ראשוניות בגין החכירה נזקפות לערך הנכס בספרים. עלויות אלו מופחתות לאורך תקופת החכירה, </t>
  </si>
  <si>
    <t>בעוד שהמכונה עצמה מופחתת לפי אורך החיים הכלכליים שבמהלכם תוכל להיות מושכרת:</t>
  </si>
  <si>
    <t>הפחתת מכונת נקניק</t>
  </si>
  <si>
    <t>סך הוצאות פחת</t>
  </si>
  <si>
    <t>ריכוז דיווחים כספיים</t>
  </si>
  <si>
    <t>פחת נצבר נכס בחכירה תפעולית</t>
  </si>
  <si>
    <t>נכס בחכירה תפעולית, נטו</t>
  </si>
  <si>
    <t>הכנסות לקבל בגין חכירה תפעולית</t>
  </si>
  <si>
    <t>נכס בחכירה תפעולית (*)</t>
  </si>
  <si>
    <t>עלות הנכס בחכירה תפעולית:</t>
  </si>
  <si>
    <t>עלות ראשונית להשגת החכירה:</t>
  </si>
  <si>
    <t>סך עלות הנכס בחכירה תפעולית</t>
  </si>
  <si>
    <t>הכנסות מחכירה תפעולית</t>
  </si>
  <si>
    <t>הנכסים</t>
  </si>
  <si>
    <t>יוצגו</t>
  </si>
  <si>
    <t>כחייבים</t>
  </si>
  <si>
    <t>בסכום</t>
  </si>
  <si>
    <t>השווה</t>
  </si>
  <si>
    <t>להשקעה נטו</t>
  </si>
  <si>
    <t>בחכירה</t>
  </si>
  <si>
    <t>לפי ערך נוכחי של השקעה</t>
  </si>
  <si>
    <t>ברוטו, ושימוש בריבית הגלומה</t>
  </si>
  <si>
    <t xml:space="preserve">יש לגרוע את נכס הבסיס </t>
  </si>
  <si>
    <t>ולהכיר ברווח / הפסד הון</t>
  </si>
  <si>
    <t>טיפול בחכירה מימונית - בספרי יצרן או סוחר</t>
  </si>
  <si>
    <t>הכנסות ממכירות</t>
  </si>
  <si>
    <t>לפי הנמוך מבין:</t>
  </si>
  <si>
    <t>א. שווי הוגן נכס בסיס</t>
  </si>
  <si>
    <t xml:space="preserve">ב. ערך נוכחי דמי חכירה, </t>
  </si>
  <si>
    <r>
      <t xml:space="preserve">מהוונים בריבית </t>
    </r>
    <r>
      <rPr>
        <b/>
        <sz val="12"/>
        <color theme="1"/>
        <rFont val="David"/>
      </rPr>
      <t>שוק</t>
    </r>
  </si>
  <si>
    <t>עלות מכר, לפי:</t>
  </si>
  <si>
    <t>ערך בספרים של נכס הבסיס</t>
  </si>
  <si>
    <r>
      <t xml:space="preserve">בניכוי ערך נוכחי של שייר </t>
    </r>
    <r>
      <rPr>
        <b/>
        <sz val="12"/>
        <color theme="1"/>
        <rFont val="David"/>
      </rPr>
      <t>בלתי</t>
    </r>
    <r>
      <rPr>
        <sz val="12"/>
        <color theme="1"/>
        <rFont val="David"/>
      </rPr>
      <t xml:space="preserve"> מובטח</t>
    </r>
  </si>
  <si>
    <t>הסכום של תשלומי החכירה לקבל על ידי המחכיר בתוספת</t>
  </si>
  <si>
    <t>ערך שייר שאיננו מובטח למחכיר (במקרה שהנכס מוחזר</t>
  </si>
  <si>
    <t xml:space="preserve">למחכיר) לפני היוון. </t>
  </si>
  <si>
    <t>מדידה עוקבת</t>
  </si>
  <si>
    <t>הכרה בהכנסות מימון</t>
  </si>
  <si>
    <t>על פני תקופת החכירה</t>
  </si>
  <si>
    <t>בתבנית המשקפת שיעור תשואה תקופתי קבוע</t>
  </si>
  <si>
    <t>שאלה 3</t>
  </si>
  <si>
    <t>הבעלות על המכונה עוברת לחוכר בתום תקופת החכירה.</t>
  </si>
  <si>
    <t>בהתאם לתנאי ההסכם החוכר ישלם למחכיר בסוף כל שנה סכום של 45,000 ש״ח.</t>
  </si>
  <si>
    <t>השווי ההוגן של מכונת הנקניק ליום 1.1.2017 הנו 105,000 ש״ח.</t>
  </si>
  <si>
    <t>נדרש: הציגו סעיפי דיווח לשנים 2017, 2018 ו-2019, תחת ההנחות הבאות:</t>
  </si>
  <si>
    <t xml:space="preserve">ג. החברה עוסקת בסחר במכונות חימום נקניק ורכשה את המכונה תמורת 95,000 ש״ח. </t>
  </si>
  <si>
    <t xml:space="preserve">ד. החברה עוסקת בסחר במכונות לחימום נקניק והיא קבעה ששיעור הריבית בהסכם החכירה יהיה אפס (כלומר </t>
  </si>
  <si>
    <t>א. החברה עוסקת במימון רכישות והיא רוכשת את המכונה תמורת שוויה ההוגן.</t>
  </si>
  <si>
    <t xml:space="preserve">ב. המכונה מהווה רכוש קבוע של החברה שעלותו המופחתת ערב החכירה 90,000 ש״ח. </t>
  </si>
  <si>
    <t xml:space="preserve">בהתאם לנתוני הנחה זו, החברה איננה יצרנית או סוחרת. בהתאם, לא נוצר רווח מהמכירה. </t>
  </si>
  <si>
    <t>מדוע? משום שלא מדובר בנכס בבעלות הישות; אלא ברכישת הנכס המהווה השקעה בחכירה שצריך להוסיף לשוויו</t>
  </si>
  <si>
    <t xml:space="preserve">ההוגן גם את העלויות הראשונות אשר נזקפות להשקעה בחכירה. </t>
  </si>
  <si>
    <t>על מנת להכיר בהכנסות מימון ולבצע מדידה עוקבת של ההשקעה נטו בחכירה, עלינו לחשב את הריבית הגלומה בחכירה.</t>
  </si>
  <si>
    <t>בשונה מהדיון מצד החוכר, שעשוי שלא לדעת את שיעור הריבית המגולם בחכירה, כאן ניתן לחשב זאת בקלות משום</t>
  </si>
  <si>
    <t xml:space="preserve">שכל הנתונים ידועים בצד המממן - בצד המחכיר. </t>
  </si>
  <si>
    <t>תנועה בהשקעה נטו בחכירה:</t>
  </si>
  <si>
    <t>ערך כספי</t>
  </si>
  <si>
    <t>השקעה בחכירה</t>
  </si>
  <si>
    <t>חילוץ שיעור הריבית הגלום בחכירה (1) והיוון התזרימים שנותרו לכל מועד דיווח = יתרת השקעה נטו בחכירה:</t>
  </si>
  <si>
    <t>תקבול</t>
  </si>
  <si>
    <t>הכנסות מימון PN</t>
  </si>
  <si>
    <t>ניתוח מרוכז של רכיב נכס שוטף של השקעה נטו בחכירה:</t>
  </si>
  <si>
    <t>ppmt</t>
  </si>
  <si>
    <t>דיווח כספי:</t>
  </si>
  <si>
    <t>השקעה נטו בחכירה - נכסים שוטפים</t>
  </si>
  <si>
    <t>השקעה נטו בחכירה - נכסים לא שוטפים</t>
  </si>
  <si>
    <t>הכנסות מימון</t>
  </si>
  <si>
    <t>דוח רווח והפסד:</t>
  </si>
  <si>
    <t xml:space="preserve">בגין השקעה נטו בחכירה, לבין ערך הפריט / הפריטים שנמסרו. </t>
  </si>
  <si>
    <t>השקעה נטו בחכירה:</t>
  </si>
  <si>
    <t>עלויות ראשוניות</t>
  </si>
  <si>
    <t>סך ההשקעה</t>
  </si>
  <si>
    <t>שולם / הועבר:</t>
  </si>
  <si>
    <t>מכונה - ערך ספרים</t>
  </si>
  <si>
    <t>מזומן ששולם</t>
  </si>
  <si>
    <t>סך הכל שולם / הועבר</t>
  </si>
  <si>
    <t xml:space="preserve">109,855 - 94,855 = </t>
  </si>
  <si>
    <r>
      <t xml:space="preserve">ומה לגבי יתר הטיפול? זהה </t>
    </r>
    <r>
      <rPr>
        <b/>
        <sz val="12"/>
        <color theme="1"/>
        <rFont val="David"/>
      </rPr>
      <t>לחלוטין</t>
    </r>
    <r>
      <rPr>
        <sz val="12"/>
        <color theme="1"/>
        <rFont val="David"/>
      </rPr>
      <t xml:space="preserve"> לטיפול לפי הנחה א. </t>
    </r>
  </si>
  <si>
    <t xml:space="preserve">ממצב שבו איננו יצרן או סוחר כמו במקרים א + ב, שבהם זקפנו את העלויות הישירות להשקעה בחכירה. </t>
  </si>
  <si>
    <t xml:space="preserve">כמו כן, יש להכיר בתחילת החכירה במכירות ובעלות המכירות, כאשר המכירה היא בגובה השווי ההוגן של הנכס, </t>
  </si>
  <si>
    <t xml:space="preserve">משום שההנחה היסודית היא שהריבית הגלומה בחכירה זהה לריבית השוק אם אין נתונים ספציפיים סותרים. </t>
  </si>
  <si>
    <t xml:space="preserve">ולכן, הערך המהוון שהוא השווי המתקבל, הוא למעשה השווי ההוגן. </t>
  </si>
  <si>
    <t>כעת ניתן לחשב את שיעור הריבית הגלומה בחכירה בהתאם:</t>
  </si>
  <si>
    <t>מכירות</t>
  </si>
  <si>
    <t>עלות המכירות</t>
  </si>
  <si>
    <t>הוצאות משפטיות</t>
  </si>
  <si>
    <t>כאשר המחכיר הוא יצרן או סוחר;</t>
  </si>
  <si>
    <t xml:space="preserve">סכום ההכנסה מוגבל לסכום ההכנסה שהיה מוכר אילו הריבית היתה ריבית שוק. </t>
  </si>
  <si>
    <t>כלומר, סכום המכירות הוא הנמוך מבין השווי ההוגן לבין הערך הנוכחי של תשלומי החכירה מהוונים בריבית השוק.</t>
  </si>
  <si>
    <t xml:space="preserve">התשלום בכל שנה הנו 35,000 ש״ח). שיעור ריבית השוק הוא בהתאם לחישוב בנדרש ג. </t>
  </si>
  <si>
    <t xml:space="preserve">ב-1.1.2017 חברה חתמה על הסכם להחכרת מכונת נקניק חדשה לתקופה של 4 שנים. </t>
  </si>
  <si>
    <t>אורך החיים הכלכליים של מכונת נקניק הינו 5 שנים.</t>
  </si>
  <si>
    <t xml:space="preserve">בהתאם להסכם, החוכר ישלם למחכיר בסוף כל שנה 30,000 ש״ח. </t>
  </si>
  <si>
    <t xml:space="preserve">החוכר מתחייב, בנוסף, לשלם למחכיר כל ירידה בשווי המכונה מתחת ל-3,000 ש״ח. </t>
  </si>
  <si>
    <t xml:space="preserve">המחכיר מעריך ששווי מכונת הנקניק המשומשת מלאת הנוצות והכרבולות במועד החזרתה הנו 10,000 ש״ח. </t>
  </si>
  <si>
    <t xml:space="preserve">השווי ההוגן של המכונה ליום 1.1.2017 הוא 109,465 ש״ח. </t>
  </si>
  <si>
    <t xml:space="preserve">בתאריך 31.12.2017 המחכיר מעריך ששווי המכונה במועד החזרתה יהיה 7,500 ש״ח. </t>
  </si>
  <si>
    <t xml:space="preserve">בסך של 98,000 ש״ח. </t>
  </si>
  <si>
    <t xml:space="preserve">נדרש: הציגו סעיפים רלוונטיים לשנים 2017 ו-2018. </t>
  </si>
  <si>
    <t xml:space="preserve">המחכיר הוא סוחר בנקניק, המאפשר ללקוחותיו לבחור בין מכירה לבין חכירה, כאשר עלות המכונה למחכיר היא </t>
  </si>
  <si>
    <t>דיון רקע - סוג החכירה:</t>
  </si>
  <si>
    <t xml:space="preserve">החכירה היא מימונית כמובן. תקופת החכירה היא 4 שנים, והיא מהווה 80% מאורך החיים הכלכליים של המכונה, </t>
  </si>
  <si>
    <t xml:space="preserve">כאשר הדגשנו שפרקטית שיעור תקופה של מעל 75% מספק לצורך הייחוס. </t>
  </si>
  <si>
    <t>סוג המחכיר:</t>
  </si>
  <si>
    <t xml:space="preserve">המחכיר הוא סוחר, והנכס חוזר לבעלותו בתום תקופת החכירה. לפיכך, בחישוב תמורת המכירה יש לכלול גם את </t>
  </si>
  <si>
    <t xml:space="preserve">הערך המהוון של ערך השייר. </t>
  </si>
  <si>
    <t xml:space="preserve">לצורך חישוב ההשקעה נטו בחכירה, יש להתחשב בכל ערך השייר (מובטח ולא מובטח). </t>
  </si>
  <si>
    <t>לצורך חישוב המכירות, יש לבחור את הנמוך מבין:</t>
  </si>
  <si>
    <t>א. השווי ההוגן של המכונה</t>
  </si>
  <si>
    <t xml:space="preserve">ב. הערך הנוכחי של תשלומי החכירה (לרבות ערך שייר מובטח בלבד). </t>
  </si>
  <si>
    <t xml:space="preserve">לצורך חישוב עלות המכר, נתייחס לערך בספרים בניכוי ערך נוכחי של השייר הלא מובטח. </t>
  </si>
  <si>
    <t>השקעה ברוטו בחכירה:</t>
  </si>
  <si>
    <t>לפני הפסד</t>
  </si>
  <si>
    <t>סך שווי הוגן</t>
  </si>
  <si>
    <t>סך ערך נוכחי תשלומי חכירה</t>
  </si>
  <si>
    <t>סך המכירות - הנמוך</t>
  </si>
  <si>
    <t>ראו להלן</t>
  </si>
  <si>
    <t>עלות המכר - ערך בספרים בניכוי ערך נוכחי של שייר לא מובטח:</t>
  </si>
  <si>
    <t xml:space="preserve">98,000 - 7,000 * (1 + 6.91%)^(-4) = </t>
  </si>
  <si>
    <t>בהנחת ערך שייר 7,500</t>
  </si>
  <si>
    <t>הפסד מירידת ערך שייר</t>
  </si>
  <si>
    <t>אחרי הפסד</t>
  </si>
  <si>
    <t>חזרה לבחינה</t>
  </si>
  <si>
    <t>מסים</t>
  </si>
  <si>
    <t>משקל</t>
  </si>
  <si>
    <t>מלכ״רים</t>
  </si>
  <si>
    <t>משקלי הבחינה (פירוט נוסף - יימסר עם השלמת כתיבתה)</t>
  </si>
  <si>
    <t>מנקודת ראות החוכר: ״רוב החכירות אותו דבר״ במובן זה שמקבלים זכות להשתמש בנכס לתקופה קצובה (נכס זכות</t>
  </si>
  <si>
    <t xml:space="preserve">שימוש). מנקודת ראות המחכיר, הסיפור ״קצת שונה״ שכן עלינו להבין האם מבחינתו מדובר בעסקת ״השכרה״ </t>
  </si>
  <si>
    <t xml:space="preserve">או על מכירה במסווה. לפיכך הטיפול בחכירות בספרי מחכיר תלוי קודם כל בתשובה לשאלה: האם החכירה </t>
  </si>
  <si>
    <t>מסווגת כמימונית או תפעולית. רק אחר כך מתחילים בסוגיות המדידה הרלוונטיות לסיווג המתבקש.</t>
  </si>
  <si>
    <r>
      <t xml:space="preserve">טיפול חשבונאי בספרי </t>
    </r>
    <r>
      <rPr>
        <b/>
        <sz val="12"/>
        <color theme="1"/>
        <rFont val="David"/>
      </rPr>
      <t>מחכיר (הצד שמספק את נכס הבסיס נשוא עסקת החכירה)</t>
    </r>
    <r>
      <rPr>
        <sz val="12"/>
        <color theme="1"/>
        <rFont val="David"/>
      </rPr>
      <t>:</t>
    </r>
  </si>
  <si>
    <t>״מכר מוצר באשראי״</t>
  </si>
  <si>
    <t>״להשכיר לטווח ארוך״</t>
  </si>
  <si>
    <t xml:space="preserve">סיכונים והטבות: האפשרות להפסד מתפוקה לא מנוצלת, מהתיישנות טכנולוגית, שינויים בתנאים כלכליים, </t>
  </si>
  <si>
    <t>(עלות הרכישה)</t>
  </si>
  <si>
    <t>מתאים</t>
  </si>
  <si>
    <t>ספציפית</t>
  </si>
  <si>
    <t>לחוכר</t>
  </si>
  <si>
    <t>תפעולית - למרות הנתון המפורש בדבר העברת הבעלות, ההתלייה (התנאי) שלה בתנאי הקובע שנדרש לשלם</t>
  </si>
  <si>
    <t>סכום הזהה לשווי ההוגן (מה שלא מייצר בהכרח אטרקטיביות צפויה למועד ההתקשרות בעסקה), ובהינתן שהקבלה להסדר</t>
  </si>
  <si>
    <t>מימון בהלוואה שאליו מקבילה במידה רבה עסקת חכירה - לא דורשת הצמדה כזו של סכום הפירעון לשווי הנכס.</t>
  </si>
  <si>
    <t>מקובל יותר להתייחס לעסקה כאל תפעולית.</t>
  </si>
  <si>
    <t>בספרי</t>
  </si>
  <si>
    <t>כי הנכס</t>
  </si>
  <si>
    <t>״עדיין שלו״</t>
  </si>
  <si>
    <t>(עידו)</t>
  </si>
  <si>
    <t>קרי</t>
  </si>
  <si>
    <t xml:space="preserve">התקשרות </t>
  </si>
  <si>
    <t>בעסקה</t>
  </si>
  <si>
    <t>יהוונו</t>
  </si>
  <si>
    <t>כי החכרה</t>
  </si>
  <si>
    <t>איננה</t>
  </si>
  <si>
    <t>מכירה</t>
  </si>
  <si>
    <t>בין הנכס</t>
  </si>
  <si>
    <t>המוחכר</t>
  </si>
  <si>
    <t>לנכסים אחרים</t>
  </si>
  <si>
    <r>
      <t xml:space="preserve">כמו כן, תקופת החכירה היא 3 שנים, ואורך החיים הכלכליים של הנכס </t>
    </r>
    <r>
      <rPr>
        <b/>
        <u/>
        <sz val="12"/>
        <rFont val="David"/>
      </rPr>
      <t>במועד ההתקשרות</t>
    </r>
    <r>
      <rPr>
        <sz val="12"/>
        <rFont val="David"/>
      </rPr>
      <t xml:space="preserve"> הוא 8 שנים. </t>
    </r>
  </si>
  <si>
    <t xml:space="preserve">22,000 * (1 + 15%) = </t>
  </si>
  <si>
    <t xml:space="preserve">25,300 * (1 + 15%) = </t>
  </si>
  <si>
    <t xml:space="preserve">76,395 / 3 = </t>
  </si>
  <si>
    <t>התפיסה היא שמתייחסים לפרויקט כולו כאל ״מכלול״. סך הכנסותיו בכל שנה ושנה צריכות לשקף את היקף ה״שירות״</t>
  </si>
  <si>
    <t>שנוצר בגין החכרת הפריט בגין כל אחת מהשנים; עצם ההגדרה של ההסכם המשפטי בצורה כזו או אחרת מבחינת</t>
  </si>
  <si>
    <t>עיתוי התקבולים, לא שוללת כשלעצמה את הנחת היסוד שאומרת - הנכס משרת באופן זהה את החוכר, ויש לפרוס</t>
  </si>
  <si>
    <t xml:space="preserve">אותו בהתאם על פני הזמן. </t>
  </si>
  <si>
    <t>דוגמאות לסיבות ״טובות״ להכרה בהכנסות לפי החוזה:</t>
  </si>
  <si>
    <t xml:space="preserve">החוזה מגדיר את היקף השימוש בנכס בכל שנה. </t>
  </si>
  <si>
    <t xml:space="preserve">החוזה מאפשר לבטל את החכירה בכל שלב ללא עלויות נוספות. </t>
  </si>
  <si>
    <t>לפי פריסה</t>
  </si>
  <si>
    <t>בקו ישר</t>
  </si>
  <si>
    <t>לפי ההסכם</t>
  </si>
  <si>
    <t>המוגדר</t>
  </si>
  <si>
    <t xml:space="preserve">180,000 / 10 = </t>
  </si>
  <si>
    <t>הפחתת עלויות עסקה-עו״ד</t>
  </si>
  <si>
    <t xml:space="preserve">6,000 / 3 = </t>
  </si>
  <si>
    <t>ביחס לתקופת ההחכרה</t>
  </si>
  <si>
    <t xml:space="preserve">18,000 + 2,000 = </t>
  </si>
  <si>
    <t xml:space="preserve">180,000 * 8/10 = </t>
  </si>
  <si>
    <t>עלות מופחתת ערב תחילת החכירה (בחלוף שנתיים):</t>
  </si>
  <si>
    <t>התקן קובע כי יש להכיר כנכס חכירה תפעולית בסכום השווה לנכס המוחכר בספרים ערב ההחכרה התפעולית, בתוספת</t>
  </si>
  <si>
    <t>עלויות נדרשות להוצאה לפועל של עסקת החכירה. דרך מדידה זו חשובה במיוחד כאשר הנכס מוחכר מספר תקופות לאחר</t>
  </si>
  <si>
    <t>רכישתו, כדלקמן:</t>
  </si>
  <si>
    <t>עוברים לספרי מחכיר בחכירה מימונית</t>
  </si>
  <si>
    <t xml:space="preserve">רקע מאד כללי: המחכיר מימונית נכס = = = למעשה ״מוכר אותו״. </t>
  </si>
  <si>
    <t>ואז השאלה - האם החכירה היא חלק ממהלך העסקים הרגיל (המחכיר הוא יצרן / סוחר) = מכירות, עלות המכר...</t>
  </si>
  <si>
    <t>או האם החכירה היא אירוע ״מיוחד״ (המחכיר לא יצרן / סוחר) = מימוש פריט רכוש קבוע...</t>
  </si>
  <si>
    <r>
      <t>פירוט - טיפול בחכירה מימונית בספרי מי ש</t>
    </r>
    <r>
      <rPr>
        <b/>
        <u/>
        <sz val="12"/>
        <color theme="1"/>
        <rFont val="David"/>
      </rPr>
      <t>אינו</t>
    </r>
    <r>
      <rPr>
        <b/>
        <sz val="12"/>
        <color theme="1"/>
        <rFont val="David"/>
      </rPr>
      <t xml:space="preserve"> יצרן או סוחר</t>
    </r>
  </si>
  <si>
    <t>א. החברה עוסקת במימון עסקאות חכירה והיא רוכשת את המכונה תמורת שוויה ההוגן.</t>
  </si>
  <si>
    <r>
      <t xml:space="preserve">ביום 1.1.2017 </t>
    </r>
    <r>
      <rPr>
        <b/>
        <sz val="12"/>
        <color theme="1"/>
        <rFont val="David"/>
      </rPr>
      <t>חברה</t>
    </r>
    <r>
      <rPr>
        <sz val="12"/>
        <color theme="1"/>
        <rFont val="David"/>
      </rPr>
      <t xml:space="preserve"> חתמה על הסכם להחכרת מכונת חימום נקניק חדשה לתקופה של 3 שנים. </t>
    </r>
  </si>
  <si>
    <t xml:space="preserve">בהתאם להסכם, החברה המחכירה צריכה לשלם אגרות הקשורות לרכישת המכונה בסך 4,855 ש״ח. </t>
  </si>
  <si>
    <t>ה-PV במועד ההתקשרות בעסקת החכירה (השקעה נטו בחכירה מצד המחכיר), כולל:</t>
  </si>
  <si>
    <t>שווי הוגן נכס מוחכר - נתון</t>
  </si>
  <si>
    <t>עלויות נוספות נדרשות להשלמת עסקת החכירה - נתון</t>
  </si>
  <si>
    <r>
      <rPr>
        <sz val="12"/>
        <color theme="0"/>
        <rFont val="David"/>
      </rPr>
      <t>,</t>
    </r>
    <r>
      <rPr>
        <sz val="12"/>
        <rFont val="David"/>
      </rPr>
      <t>(1)</t>
    </r>
  </si>
  <si>
    <t>ניתוח מרוכז של רכיב נכס שוטף של השקעה נטו בחכירה - PPMT:</t>
  </si>
  <si>
    <t>מספר התשלומים הכולל בחכירה</t>
  </si>
  <si>
    <t>מספר התשלום בשנה ה״עוקבת״</t>
  </si>
  <si>
    <t xml:space="preserve">למעשה, ה - per משמעו: מהו מספר התשלום על ציר הזמן שיבוצע בשנה שאחרי למועד הדיווח. </t>
  </si>
  <si>
    <t xml:space="preserve">ספציפית: נכון לתום 2017, תשלום ראשון מתוך 3 כבר בוצע היסטורית. לכן התשולם הבא </t>
  </si>
  <si>
    <t xml:space="preserve">שיבוצע בשנה הבאה (2018) ובגינו יחושב הרכיב השוטף, הוא תשלום מס׳ 2. </t>
  </si>
  <si>
    <t>נכון לתום 2018, בוצעו כבר 2 תשלומים מתוך ה-3, לכן הרכיב השוטף שישולם ב-2019 הוא זה</t>
  </si>
  <si>
    <t xml:space="preserve">שמקושר לתשלום ה-3. </t>
  </si>
  <si>
    <t>יתרת השקעה מקורית נטו בחכירה</t>
  </si>
  <si>
    <t>שווי הוגן בתוספת עלויות עסקה, ראו לעיל</t>
  </si>
  <si>
    <t>יתרת ההשקעה נטו בחכירה למועד זה</t>
  </si>
  <si>
    <t>לפי הפרש: יתרת השקעה בניכוי הרכיב השוטף</t>
  </si>
  <si>
    <r>
      <t xml:space="preserve">של </t>
    </r>
    <r>
      <rPr>
        <b/>
        <sz val="12"/>
        <color theme="1"/>
        <rFont val="David"/>
      </rPr>
      <t>מחכיר שאיננו יצרן או סוחר</t>
    </r>
    <r>
      <rPr>
        <sz val="12"/>
        <color theme="1"/>
        <rFont val="David"/>
      </rPr>
      <t>. בהתאם, נוצר רווח / הפסד במכירה, בהתאם לפער בין ערך הספרים שיוכר ויימדד</t>
    </r>
  </si>
  <si>
    <r>
      <t xml:space="preserve">בשונה מהמקרה הקודם, לא מדובר במצב שבו רכשו את המכונה לטובת השקעה בחכירה, אלא </t>
    </r>
    <r>
      <rPr>
        <b/>
        <sz val="12"/>
        <color rgb="FFFF0000"/>
        <rFont val="David"/>
      </rPr>
      <t>הסבו</t>
    </r>
    <r>
      <rPr>
        <sz val="12"/>
        <color theme="1"/>
        <rFont val="David"/>
      </rPr>
      <t xml:space="preserve"> מכונה קיימת </t>
    </r>
  </si>
  <si>
    <t>נתון בשאלה</t>
  </si>
  <si>
    <t>ערך חשבונאי שהוקצה (יצא) ליישום עסקת ההחכר</t>
  </si>
  <si>
    <t>במלים אחרות, כאשר המחכיר איננו יצרן / סוחר, אופן המדידה והטיפול החשבונאי זהה לחלוטין בין מצב שבו רוכשים</t>
  </si>
  <si>
    <t>נכס חדש לטובת עסקת ההחכר (סעיף א) לבין מצב שבו מסבים פריט קיים לעסקת ההחכר (סעיף ב) למעט הבדל אחד</t>
  </si>
  <si>
    <t>כאמור: הכרה ברווח / הפסד הון במועד ההתקשרות בעסקה - שמבוצע רק במקרה של הסבה.</t>
  </si>
  <si>
    <r>
      <t xml:space="preserve">המחכיר הוא סוחר / יצרן. במצב כזה, העלויות הראשונות </t>
    </r>
    <r>
      <rPr>
        <b/>
        <u/>
        <sz val="12"/>
        <color theme="1"/>
        <rFont val="David"/>
      </rPr>
      <t>מוכרות ברווח / הפסד בתחילת החכירה</t>
    </r>
    <r>
      <rPr>
        <sz val="12"/>
        <color theme="1"/>
        <rFont val="David"/>
      </rPr>
      <t>, וזאת בשונה</t>
    </r>
  </si>
  <si>
    <t>ההגיון הבסיסי: למעשה זו עלות ״שוטפת״ שמתהווה כל הזמן, באופן שוטף במסגרת מהלך העסקים המרכזי בישות,</t>
  </si>
  <si>
    <t>ולכן אין היגיון בהיוונה או פריסתה.</t>
  </si>
  <si>
    <t>שימו לב: ב-1/1/2017, סכום ההשקעה בחכירה (מועד ההתקשרות) הוא 105,000 ש״ח בלבד.</t>
  </si>
  <si>
    <t>לא הוספנו את עלויות העסקה לנכס ההשקעה בחכירה, משום שהמחכיר יצרן / סוחר ולכן</t>
  </si>
  <si>
    <t xml:space="preserve">עלויות אלו תיזקפנה לרווח והפסד. </t>
  </si>
  <si>
    <t>הערך המשלים את השוטף לסך ההשקעה בחכירה</t>
  </si>
  <si>
    <t>מכירות - לפי שווי הוגן שמייצג ערך נוכחי</t>
  </si>
  <si>
    <t>עלות המכירות - עלות המכונה שנמכרה כנתון</t>
  </si>
  <si>
    <t>סעיפים בדוח רווח והפסד:</t>
  </si>
  <si>
    <t>בהינתן העובדה שהריבית שקובע המחכיר בעסקה היא לכאורה ״אפס״, כבר לא נוכל לקבל את הטענה הבסיסית שלפיה</t>
  </si>
  <si>
    <t xml:space="preserve">שיעור הריבית המופיע בהסכם הוא אכן כזה שמוביל לערך נוכחי המייצג את שווי הנכס. </t>
  </si>
  <si>
    <t>ובהינתן נתון כזה, שיוצר פער בין ערך מהוון של תקבולים לבין שווי - המכירות שתוכרנה תתבסס על הנמוך מבין:</t>
  </si>
  <si>
    <t>א. שווי הוגן</t>
  </si>
  <si>
    <r>
      <t xml:space="preserve">ב. ערך נוכחי תשלומי חכירה מהוונים </t>
    </r>
    <r>
      <rPr>
        <b/>
        <u/>
        <sz val="12"/>
        <color theme="1"/>
        <rFont val="David"/>
      </rPr>
      <t>בריבית השוק</t>
    </r>
  </si>
  <si>
    <r>
      <t xml:space="preserve">התשלום בכל שנה הנו 35,000 ש״ח). שיעור ריבית השוק הוא </t>
    </r>
    <r>
      <rPr>
        <b/>
        <sz val="12"/>
        <color rgb="FFFF0000"/>
        <rFont val="David"/>
      </rPr>
      <t>בהתאם לחישוב בנדרש ב.</t>
    </r>
    <r>
      <rPr>
        <b/>
        <sz val="12"/>
        <color theme="1"/>
        <rFont val="David"/>
      </rPr>
      <t xml:space="preserve"> </t>
    </r>
  </si>
  <si>
    <t>ריבית השוק = מועתק מנדרש ב</t>
  </si>
  <si>
    <t>מכירות: 81,667</t>
  </si>
  <si>
    <t>לכאורה הריבית אפס לפי תנאי ההסדר. אלא שאנו טוענים שריבית משפטית זו איננה באמת הריבית האפקטיבית</t>
  </si>
  <si>
    <t>המגולמת בהסדר; הריבית הזו היא ריבית השוק. למעשה, השימוש ב״ריבית אפס״ לכאורה היא כלי שיווקי;</t>
  </si>
  <si>
    <t>קובעים מחיר מוצר ״בשמים״ מאפשרים קניה שלו בתשלומים לכאורה ״ללא ריבית״, אבל בפועל אני משלמת ריבית</t>
  </si>
  <si>
    <t>ועוד איך לאור הפער בין השווי ההוגן האמיתי לסך תשלומי החכירה.</t>
  </si>
  <si>
    <t>עלות המכירות - עלות הנכס שנמכר</t>
  </si>
  <si>
    <t>התקן קובע כי ההשקעה נטו בחכירה (במונחי PV) תכלול את היוון כלל התקבולים / הערכים המתקבלים</t>
  </si>
  <si>
    <t>או הצפויים להתקבל לאורך ההסדר, לרבות ערך השייר הכולל (מתבססים על צפי עדכני, ולכן עצם היות</t>
  </si>
  <si>
    <t>ערך השייר מובטח או לא מובטח איננה רלוונטית). זו הסיבה להכללת FV של 10,000 במועד התחילה.</t>
  </si>
  <si>
    <t>להפריד בין רכיב ההפסד הנובע מהקיטון בערך השייר (הפסד מירידת ערך) לבין כל הפרש אחר הכלול בפן</t>
  </si>
  <si>
    <t xml:space="preserve">המימוני. לכן, נחשב את היתרה לפני שינוי ערך השייר ולצידה - יתרה לאחר שינוי ערך השייר. </t>
  </si>
  <si>
    <t xml:space="preserve">ההפרש בין הערכים הללו ״ייצבע בנפרד״. </t>
  </si>
  <si>
    <t>(*) בנוסף, הואיל ובשאלה ספציפית זו, חל קיטון בערך השייר מ-10,000 ל-7,500 בתום 2017, הרי שהתקן דורש</t>
  </si>
  <si>
    <t>שייר מעודכן</t>
  </si>
  <si>
    <t>הואיל והיה שינוי - משתמשים ב - pv לאחר שינוי</t>
  </si>
  <si>
    <t>בהינתן שינוי, נתייחס ליתרת תקופת ההסדר אחריו</t>
  </si>
  <si>
    <t>ההסדר הוא ל-4 שנים, חלפה שנה ערב השינוי, ולכן הפריסה לצורך השקעה בחכירה כנכס שוטף</t>
  </si>
  <si>
    <t>תתבסס על 3 שנים מאותה נקודה.</t>
  </si>
  <si>
    <t>כמו כן, הואיל וההתייחסות לאחר השינוי היא כאל עסקה ״חדשה״, ה - per המייצג את התשלום</t>
  </si>
  <si>
    <t xml:space="preserve">העוקב לשינוי הוא 1. </t>
  </si>
  <si>
    <t xml:space="preserve">שימו לב: בשונה מהתרגילים הקודמים שנפתרו בשיעור זה, הפעם הנכס החכור חוזר למחכיר. </t>
  </si>
  <si>
    <t>לפיכך, בתקבול האחרון הנלווה להחזרת הנכס למחכיר, יש להוסיף לתקבול הכספי את השווי העדכני</t>
  </si>
  <si>
    <t xml:space="preserve">של הנכס המוחזר (כאן הוא 7,500 משום שאין נתונים בדבר שינויים נוספים בערך השייר). </t>
  </si>
  <si>
    <t>הירידה בערך המוחלט היא ההפסד משינוי ערך השייר (*)</t>
  </si>
  <si>
    <t xml:space="preserve">   בשנה זו, שבה חל שינוי בתזרימים הצפויים,</t>
  </si>
  <si>
    <t xml:space="preserve">    בעקבות שינוי בערך השייר, אין להכיר בכל ההפרש</t>
  </si>
  <si>
    <t xml:space="preserve">    כהכנסות מימון, אלא רק בערך המשלים בהתחשב בהפסד</t>
  </si>
  <si>
    <t>כדי לחשב את ההכנסות ממכירות - נתבסס על הנמוך מבין שווי הוגן לבין ערך נוכחי תשלומי חכירה.</t>
  </si>
  <si>
    <r>
      <t xml:space="preserve">הערך הנוכחי של תשלומי החכירה לרבות ערך </t>
    </r>
    <r>
      <rPr>
        <b/>
        <u/>
        <sz val="12"/>
        <color rgb="FF0070C0"/>
        <rFont val="David"/>
      </rPr>
      <t>שייר מובטח בלבד</t>
    </r>
    <r>
      <rPr>
        <b/>
        <sz val="12"/>
        <color rgb="FF0070C0"/>
        <rFont val="David"/>
      </rPr>
      <t xml:space="preserve"> (תקרה להכרה במכירות):</t>
    </r>
  </si>
  <si>
    <t>התפיסה החשבונאית היא: כשאתה מחשב השקעה נטו בחכירה, כמו כל השקעה אחרת - ברור שחלק מפירותיה</t>
  </si>
  <si>
    <t>אינם מובטחים; לרבות ערך שייר לא מובטח שכולו יובא בחשבון בחישוב ההשקעה נטו כאמור.</t>
  </si>
  <si>
    <t>יחד עם זאת, כדי להכיר במכירות, חייבים להתייחס רק לתמורה הברורה, הודאית וה״מובטחת״</t>
  </si>
  <si>
    <t xml:space="preserve">ולכן מהוונים את התקבולים ואת ערך השייר המובטח בלבד. </t>
  </si>
  <si>
    <t>נתון - ערך שייר מובטח</t>
  </si>
  <si>
    <t>חולץ לעיל</t>
  </si>
  <si>
    <t>החשבונאות מתייחסת לעלות הנכס שנמכר לפי ערכו בספרים / עלותו, אבל בניכוי אותו חלק מהעלות שאנחנו</t>
  </si>
  <si>
    <t>צופים לקבל חזרה ולא מגולם במסגרת ההכנסה ממכירות (כלומר את ערך השייר הלא מובטח):</t>
  </si>
  <si>
    <t>עלות הנכס</t>
  </si>
  <si>
    <t>נתונה</t>
  </si>
  <si>
    <t>מייצג את ערך השייר הלא</t>
  </si>
  <si>
    <t>מובטח - ההפרש בין ערך</t>
  </si>
  <si>
    <t xml:space="preserve">השייר הצפוי בהתקשרות </t>
  </si>
  <si>
    <t>שהנו 10,000</t>
  </si>
  <si>
    <t>לבין הרכיב המובטח - 3,000</t>
  </si>
  <si>
    <t>מהוון להיום (4 שנים)</t>
  </si>
  <si>
    <t xml:space="preserve">חלק </t>
  </si>
  <si>
    <t>הבהרות</t>
  </si>
  <si>
    <t>כ-10 אירועים, לא מורכבים ברמה הטכנית, ניתוח שנה אחת</t>
  </si>
  <si>
    <t>כ-10 אירועים, כ-5 פשוטים וכ-5 מורכבים קצת יותר</t>
  </si>
  <si>
    <t>בדומה למבוצע במחברת הקורס</t>
  </si>
  <si>
    <t>חכירות - צד חוכר</t>
  </si>
  <si>
    <t>ברמת *המחברת* (לא שאלה ארוכה מאד). או חוכר, או מחכיר - דעו את שניהם</t>
  </si>
  <si>
    <t xml:space="preserve">בעיות מדידה א </t>
  </si>
  <si>
    <t>מרצה: ד״ר שי צבאן</t>
  </si>
  <si>
    <r>
      <rPr>
        <b/>
        <sz val="12"/>
        <color rgb="FFFF0000"/>
        <rFont val="David"/>
      </rPr>
      <t>מסים שוטפים</t>
    </r>
    <r>
      <rPr>
        <sz val="12"/>
        <color theme="1"/>
        <rFont val="David"/>
      </rPr>
      <t xml:space="preserve"> - מופיעים בקלות בדוח השומה, הרי </t>
    </r>
    <r>
      <rPr>
        <b/>
        <sz val="12"/>
        <color rgb="FF0070C0"/>
        <rFont val="David"/>
      </rPr>
      <t>שההשפעות העתידיות של המסים המשולמים</t>
    </r>
    <r>
      <rPr>
        <sz val="12"/>
        <color theme="1"/>
        <rFont val="David"/>
      </rPr>
      <t>, ומתן ביטוי</t>
    </r>
  </si>
  <si>
    <r>
      <t xml:space="preserve">נאות להשלכות המס על </t>
    </r>
    <r>
      <rPr>
        <b/>
        <sz val="12"/>
        <color rgb="FF0070C0"/>
        <rFont val="David"/>
      </rPr>
      <t>בסיס הצבירה (נכסי והתחייבויות מסים)</t>
    </r>
    <r>
      <rPr>
        <sz val="12"/>
        <color theme="1"/>
        <rFont val="David"/>
      </rPr>
      <t xml:space="preserve"> המקובל בחשבונאות, מורכבת יותר.</t>
    </r>
  </si>
  <si>
    <r>
      <rPr>
        <b/>
        <sz val="12"/>
        <color theme="1"/>
        <rFont val="David"/>
      </rPr>
      <t>מסים שוטפים</t>
    </r>
    <r>
      <rPr>
        <sz val="12"/>
        <color theme="1"/>
        <rFont val="David"/>
      </rPr>
      <t>: הם סכום המס שיש לשלם (או החזר מס לקבל) בעד השנה השוטפת, בהתבסס על ההכנסה</t>
    </r>
  </si>
  <si>
    <r>
      <rPr>
        <b/>
        <sz val="12"/>
        <color theme="1"/>
        <rFont val="David"/>
      </rPr>
      <t>מסים נדחים</t>
    </r>
    <r>
      <rPr>
        <sz val="12"/>
        <color theme="1"/>
        <rFont val="David"/>
      </rPr>
      <t>: הסכום של המס שנצטרך לשלם בעתיד או לקבל חזרה בעתיד, בהתבסס על הפרשים שנוצרו</t>
    </r>
  </si>
  <si>
    <r>
      <t xml:space="preserve">הגישה שבה פועל IAS 12 נקראת הגישה </t>
    </r>
    <r>
      <rPr>
        <b/>
        <sz val="12"/>
        <color theme="1"/>
        <rFont val="David"/>
      </rPr>
      <t>המאזנית</t>
    </r>
    <r>
      <rPr>
        <sz val="12"/>
        <color theme="1"/>
        <rFont val="David"/>
      </rPr>
      <t>. בהתאם לגישה זו, יש לחשב על בסיס תקופתי את ההפרש</t>
    </r>
  </si>
  <si>
    <r>
      <t xml:space="preserve">בין </t>
    </r>
    <r>
      <rPr>
        <b/>
        <sz val="12"/>
        <color theme="1"/>
        <rFont val="David"/>
      </rPr>
      <t>ערך הספרים של הנכסים וההתחייבויות</t>
    </r>
    <r>
      <rPr>
        <sz val="12"/>
        <color theme="1"/>
        <rFont val="David"/>
      </rPr>
      <t xml:space="preserve"> (עליו מדווחים בדוח על המצב הכספי) לבין </t>
    </r>
    <r>
      <rPr>
        <b/>
        <sz val="12"/>
        <color theme="1"/>
        <rFont val="David"/>
      </rPr>
      <t>בסיס המס</t>
    </r>
    <r>
      <rPr>
        <sz val="12"/>
        <color theme="1"/>
        <rFont val="David"/>
      </rPr>
      <t xml:space="preserve"> שלהם, </t>
    </r>
  </si>
  <si>
    <r>
      <rPr>
        <b/>
        <sz val="12"/>
        <color theme="1"/>
        <rFont val="David"/>
      </rPr>
      <t>הפרש זמני</t>
    </r>
    <r>
      <rPr>
        <sz val="12"/>
        <color theme="1"/>
        <rFont val="David"/>
      </rPr>
      <t xml:space="preserve"> יכול להיות </t>
    </r>
    <r>
      <rPr>
        <u/>
        <sz val="12"/>
        <color theme="1"/>
        <rFont val="David"/>
      </rPr>
      <t>חייב במס</t>
    </r>
    <r>
      <rPr>
        <sz val="12"/>
        <color theme="1"/>
        <rFont val="David"/>
      </rPr>
      <t xml:space="preserve"> או </t>
    </r>
    <r>
      <rPr>
        <u/>
        <sz val="12"/>
        <color theme="1"/>
        <rFont val="David"/>
      </rPr>
      <t>ניתן לניכוי</t>
    </r>
    <r>
      <rPr>
        <sz val="12"/>
        <color theme="1"/>
        <rFont val="David"/>
      </rPr>
      <t xml:space="preserve"> - והתשובה לכך תלויה במתן מענה לשאלה - האם כתוצאה</t>
    </r>
  </si>
  <si>
    <r>
      <t xml:space="preserve">מהפרש זה אנו צופים שההכנסה החייבת </t>
    </r>
    <r>
      <rPr>
        <u/>
        <sz val="12"/>
        <color theme="1"/>
        <rFont val="David"/>
      </rPr>
      <t>תקטן</t>
    </r>
    <r>
      <rPr>
        <sz val="12"/>
        <color theme="1"/>
        <rFont val="David"/>
      </rPr>
      <t xml:space="preserve"> או </t>
    </r>
    <r>
      <rPr>
        <u/>
        <sz val="12"/>
        <color theme="1"/>
        <rFont val="David"/>
      </rPr>
      <t>תגדל</t>
    </r>
    <r>
      <rPr>
        <sz val="12"/>
        <color theme="1"/>
        <rFont val="David"/>
      </rPr>
      <t xml:space="preserve"> בעתיד (בהשוואה לערכה החשבונאי) כתוצאה מההפרש. </t>
    </r>
  </si>
  <si>
    <t xml:space="preserve">למשל, ההפרש הזמני בדוגמא לעיל יהיה 10,000 דולר בתום השנה הראשונה, </t>
  </si>
  <si>
    <r>
      <t xml:space="preserve">כתוצאה מההפרש הזמני הניתן לניכוי, תיווצר כבר בתום השנה ה-1 </t>
    </r>
    <r>
      <rPr>
        <b/>
        <sz val="12"/>
        <color theme="1"/>
        <rFont val="David"/>
      </rPr>
      <t>התחייבות למסים נדחים</t>
    </r>
    <r>
      <rPr>
        <sz val="12"/>
        <color theme="1"/>
        <rFont val="David"/>
      </rPr>
      <t>, שתשקף את העובדה ש״הטבת המס״</t>
    </r>
  </si>
  <si>
    <t>אופן ההכרה והמדידה של נכסי והתחייבויות מסים נדחים תלוי באופן שבו מצפים להשתמש או לממש את</t>
  </si>
  <si>
    <t>חישוב המסים השוטפים נשען על התאמת הרווח החשבונאי לרווח לצורך מס (הכנסה חייבת).</t>
  </si>
  <si>
    <t>לשם כך, עלינו לנטרל מהרווח החשבונאי הכנסות שאינן מוכרות לצורך מס (בסימן שלילי) וכן הוצאות שאינן מוכרות (בסימן חיובי).</t>
  </si>
  <si>
    <t>זה אומר שטכנית - יוצאים מהרווח החשבונאי, בתוספת או בניכוי התאמות, מגיעים להכנסה החייבת, כופלים אותה בשיעור המס = מס שוטף.</t>
  </si>
  <si>
    <t>הרווח לפני מס בחברה (ממכלול פעילויותיה, לא רק בגין נדל״ן), על פי עקרונות חשבונאיים, ב-2012, הסתכם ב-500,000 ש״ח.</t>
  </si>
  <si>
    <t>המסים השוטפים אשר חושבו - כל מטרתם היתה לשקף את הסכום התזרימי (כסף אמיתי שישולם) בתום כל אחת מהשנים לרשות המסים.</t>
  </si>
  <si>
    <t>לא מדובר בדיווחים חשבונאיים מלאים בהיבט השפעות המס, לכך יתייחסו הדיונים הבאים.</t>
  </si>
  <si>
    <t>הסבר ״כללי״ (מדובר בהסבר לצרכי הבנה, שפחות שייך לטכניקה המרכזית שתיושם לאורך הקורס):</t>
  </si>
  <si>
    <t>אופן הדיון והכימות של הערכים בגישה המאזנית המקובלת</t>
  </si>
  <si>
    <t>התחייבות למסים נדחים</t>
  </si>
  <si>
    <t xml:space="preserve">השינויים בהפרש הזמני בכל שנה - </t>
  </si>
  <si>
    <t xml:space="preserve">נועדו לקבוע באופן ״מהיר״ </t>
  </si>
  <si>
    <t>את ההתאמות בכל שנה כפי שתכלננה</t>
  </si>
  <si>
    <t>בדוח ההתאמה.</t>
  </si>
  <si>
    <t>חובה נכס מס נדחה 25</t>
  </si>
  <si>
    <t>זכות הוצאות מס נדחה 25</t>
  </si>
  <si>
    <t>זכות נכס מ״נ 25</t>
  </si>
  <si>
    <t>ח׳ הוצאות מס נדחה 100</t>
  </si>
  <si>
    <t>ח׳ הת׳ למ״נ 12.5</t>
  </si>
  <si>
    <t>ז׳ הוצאות מ״נ 12.5</t>
  </si>
  <si>
    <t>זכות הת׳ למ״נ 75</t>
  </si>
  <si>
    <t>ח׳ הת׳ למ״נ 62.5</t>
  </si>
  <si>
    <t>ז׳ הוצאות מ״נ 62.5</t>
  </si>
  <si>
    <t>השינויים בנכסי והת׳ מ״נ הם אלו</t>
  </si>
  <si>
    <t>שיקבעו גם את השפעת האירועים</t>
  </si>
  <si>
    <t xml:space="preserve">על הוצאות מס נדחה. </t>
  </si>
  <si>
    <t>(נטרול)</t>
  </si>
  <si>
    <t>תהליכי העבודה בהם נשתמש לאורך הקורס לניתוח שינויים והשפעות מס על הדיווח הכספי ניתנים לריכוז</t>
  </si>
  <si>
    <t xml:space="preserve">את הפערים בין יתרות אלו - הפרש זמני (ניתן לניכוי או חייב במס) וכן השינויים בהפרשים הזמניים - לדוח ההתאמה (לקביעת ההכנסה החייבת). </t>
  </si>
  <si>
    <t>כמו כן, הכלי מאפשר לחשב את יתרות נכס / התחייבות המס הנדחה, ואת השינויים בהן - הוצאות (או הכנסות) מס נדחה.</t>
  </si>
  <si>
    <r>
      <t>לנייר עבודה אחד (</t>
    </r>
    <r>
      <rPr>
        <b/>
        <sz val="12"/>
        <color theme="1"/>
        <rFont val="David"/>
      </rPr>
      <t>לא תוצר שמדווח, אלא כלי עזר עבורנו</t>
    </r>
    <r>
      <rPr>
        <sz val="12"/>
        <color theme="1"/>
        <rFont val="David"/>
      </rPr>
      <t>) שמרכז את היתרות של הנכס / ההתחייבות - הן חשבונאית והן בסיס מס,</t>
    </r>
  </si>
  <si>
    <t xml:space="preserve">לאחר השלמת תוצר זה, ניתן לפנות לחישוב המס השוטף (על בסיס דוח ההתאמה והמס לתשלום על בסיסו), </t>
  </si>
  <si>
    <t xml:space="preserve">את יתרות נכסי / התחייבויות המסים הנדחים למאזן (לדוח על המצב הכספי). </t>
  </si>
  <si>
    <t xml:space="preserve">ואת הכנסות והוצאות המסים הנדחים - שמצטרפות למסים השוטפים וכך מקבלים הוצאות מס בדיווח. </t>
  </si>
  <si>
    <t>פתרון סעיף א - נייר עבודה מלא לניתוח יתרות, פערים והפרשים ומשמעותו:</t>
  </si>
  <si>
    <t>פתרון סעיף ב - דוח התאמה ומקור ערכיו:</t>
  </si>
  <si>
    <t>דוח ההתאמה תמיד מתחיל מהרווח החשבונאי לפני מס. לאחר שורה זו, יופיעו ערכי ההתאמות (הנטרולים, הביטולים)</t>
  </si>
  <si>
    <r>
      <t xml:space="preserve">שנועדו לתקן את הרווח כך שיתאים להגדרה של </t>
    </r>
    <r>
      <rPr>
        <b/>
        <sz val="12"/>
        <color theme="1"/>
        <rFont val="David"/>
      </rPr>
      <t>הכנסה חייבת</t>
    </r>
    <r>
      <rPr>
        <sz val="12"/>
        <color theme="1"/>
        <rFont val="David"/>
      </rPr>
      <t xml:space="preserve"> (רווח לצורך מס). </t>
    </r>
  </si>
  <si>
    <t>את ההתאמות ניתן לחשב ישירות מנתוני השאלה, או (וכך עשינו) - על בסיס השינויים בהפרשים הזמניים מהטבלה</t>
  </si>
  <si>
    <t xml:space="preserve">המרכזת (תוך תיאור מתאים לגורם הנטרול). </t>
  </si>
  <si>
    <t>חיבור הרווח החשבונאי לפני מס עם כלל</t>
  </si>
  <si>
    <t xml:space="preserve">ההתאמות הנדרשות בגינו </t>
  </si>
  <si>
    <t>הוא ההכנסה החייבת שבגינה ישולם מס שוטף</t>
  </si>
  <si>
    <t>מכפלת ההכנסה החייבת בשיעור המס השוטף</t>
  </si>
  <si>
    <t>כל שינוי שהתבטא ב״חובה הוצ׳ מס נדחה״ +, כל שינוי שהתבטא ב״זכות הוצ׳ מס נדחה״ (-)</t>
  </si>
  <si>
    <t>סיכום הוצאות מסים שוטפים והוצאות מסים נדחים</t>
  </si>
  <si>
    <t>לפניכם נתונים בדבר עסקאות ואירועים בחברה בשנים שונות. שם החברה: משה אחזקות של מכונות לחימום נקניק בע״מ.</t>
  </si>
  <si>
    <t>תזכורת: אופן הדיון שלנו במסים על ההכנסה ברמה החשבונאית, דורש מאיתנו לזהות את אופן מדידת הנכס על פי</t>
  </si>
  <si>
    <t xml:space="preserve">העקרונות החשבונאיים מצד אחד, ומצד שני - את אופן המדידה על פי הנחיות רשות המסים. </t>
  </si>
  <si>
    <t xml:space="preserve">אם נדע מה הפער בין הערך החשבונאי לערך לצורך מס (בסיס המס) ומשמעותו - תהיה לנו טכניקה לגילום </t>
  </si>
  <si>
    <t>ההשפעות על דוח ההתאמה ועל המסים הנדחים. הדיון הנדרש הוא לגבי 2013, לכן היתרות שיידונו הן לתום 2012 ולתום 2013.</t>
  </si>
  <si>
    <t xml:space="preserve">כמו כן ידוע שעד למועד השינוי שחל ב-2013, החברה היתה כפופה ל וצפתה שיעור מס של 40%. </t>
  </si>
  <si>
    <t>השפעות על העתיד - מסים נדחים</t>
  </si>
  <si>
    <r>
      <t xml:space="preserve">נכון </t>
    </r>
    <r>
      <rPr>
        <b/>
        <sz val="12"/>
        <rFont val="David"/>
      </rPr>
      <t>לתום 2013</t>
    </r>
    <r>
      <rPr>
        <sz val="12"/>
        <rFont val="David"/>
      </rPr>
      <t>, מתווה חקיקת המסים קובע כדלקמן:</t>
    </r>
  </si>
  <si>
    <t>נטרול רווח ע״ע</t>
  </si>
  <si>
    <t>פחת למס</t>
  </si>
  <si>
    <t>הסבר מלא שיעזור להטמיע משמעות ההיפוך - בראי כל שנות העסקה:</t>
  </si>
  <si>
    <t>הכנסות חשבונאיות</t>
  </si>
  <si>
    <t>הכנסות לצורך מס</t>
  </si>
  <si>
    <t>הגדלת הכנסה חייבת במס</t>
  </si>
  <si>
    <t>הקטנת הכנסה חייבת במס</t>
  </si>
  <si>
    <t>שנות ההיפוך</t>
  </si>
  <si>
    <t>הכנסות מראש (התחייבות) - הואיל וזו התחייבות הפרש זמני ניתן לניכוי הוא דווקא חיובי:</t>
  </si>
  <si>
    <t>חישוב עזר שמסביר בצורה מפורטת מדוע התשלום בפועל ב-2013 בסך 500,000 ש״ח לא נדרש לטובת דיון מסים - אפשר להסתפק בטבלה:</t>
  </si>
  <si>
    <t>יתרה</t>
  </si>
  <si>
    <t>תשלום בפועל</t>
  </si>
  <si>
    <t>הוצאות PN</t>
  </si>
  <si>
    <t>הפרשה לאחריות (חשבונאי)</t>
  </si>
  <si>
    <t xml:space="preserve">הוצאה לפי מה ששילמת </t>
  </si>
  <si>
    <t>בהסבר מלא, החשבונאות רשמה ערך שלילי של 1,000,000 ברווח והפסד.</t>
  </si>
  <si>
    <t>רשות המסים רוצה שיופיע 500,000 שלילי בלבד.</t>
  </si>
  <si>
    <t xml:space="preserve">ולכן ההתאמה החיובית המתבקשת בסך 500,000. </t>
  </si>
  <si>
    <t>רשות המסים - הוצאה בגובה חוב אבוד:</t>
  </si>
  <si>
    <t>רשות המסים לא מכירה בהכנסות הלח״מ</t>
  </si>
  <si>
    <t>כן מכירה בהוצאה נוספת של חוב אבוד</t>
  </si>
  <si>
    <t>חשבונאות:</t>
  </si>
  <si>
    <t>שאיננו בעל השפעה תוצאתית (איננו הכנסה / הוצאה בחשבונאות)</t>
  </si>
  <si>
    <t>השפעה תוצאתית חיובית חשבונאית כי חל קיטון בערך המוחלט של ההלח״מ</t>
  </si>
  <si>
    <t>כשרשות המס לא מכירה בהכנסה נדרשת התאמה שלילית</t>
  </si>
  <si>
    <t>כשרשות המס מכירה בהוצאה שלא הוכרה חשבונאית נדרשת התאמה שלילית</t>
  </si>
  <si>
    <t xml:space="preserve">זה ההסבר המהותי לסכום ההתאמה וכיוונה. </t>
  </si>
  <si>
    <t xml:space="preserve">טכנית (ואסור להסתפק טכנית) ההפרש בין י״ס הלח״מ לי״פ הלח״מ משקף את ההתאמה וכיוונה. </t>
  </si>
  <si>
    <t>סוגיות מדידה א - הרצאות 2, 3 - מסים על ההכנסה</t>
  </si>
  <si>
    <t xml:space="preserve">עד כאן הגענו בהרצאה מס׳ 2. מפה ואילך הדיון נמשך בהרצאה 3. </t>
  </si>
  <si>
    <t>רקע מטרים - לסוגיות נוספות - הרצאה 3:</t>
  </si>
  <si>
    <t xml:space="preserve">עד כה עסקנו בסוגיות מסים שנובעות מהפרשים זמניים. </t>
  </si>
  <si>
    <t xml:space="preserve">לצד זאת, חלק מהפערים בסכומי ההכנסות / ההוצאות בין החברה לבין רשות המסים הם בעלי אופי קבוע, </t>
  </si>
  <si>
    <t>כאלו שלא יתהפכו. למשל - קנסות הן הוצאה שלא מוכרת לעולם; רכיב של 20% בהוצאות הכיבודים לא מוכר לעולם.</t>
  </si>
  <si>
    <t>הטענה הבסיסית תאמר - אם ההפרש שנוצר בסכומי הכנסות והוצאות ביני לבין רשות המסים לא צפוי להתהפך</t>
  </si>
  <si>
    <t xml:space="preserve">בעתיד באף שלב - אין ליצור בגינו מסים נדחים (נכסים / התחייבויות / הכנסות / הוצאות מס נדחה). </t>
  </si>
  <si>
    <r>
      <t xml:space="preserve">בהתאם </t>
    </r>
    <r>
      <rPr>
        <b/>
        <sz val="12"/>
        <color theme="1"/>
        <rFont val="David"/>
      </rPr>
      <t xml:space="preserve">הפרשים שלא צפויים להתהפך ישפיעו על דוח ההתאמה [בתור הדוח המבטא את הפער השוטף ביני </t>
    </r>
  </si>
  <si>
    <t xml:space="preserve">לבין רשות המסים] בלבד. </t>
  </si>
  <si>
    <t xml:space="preserve">למעשה, בדוח רווח והפסד נכלל ערך שלילי בסכום זה. </t>
  </si>
  <si>
    <t xml:space="preserve">דוח ההתאמה אמור לבצע תיקונים, התאמות, נטרולים - שיתקנו </t>
  </si>
  <si>
    <t>את סכום הרווח לזה שמוכר לפי חוקי המס.</t>
  </si>
  <si>
    <t>כל הוצאה חשבונאית שאיננה מותרת בניכוי לעולם לפי חוקי המס</t>
  </si>
  <si>
    <t xml:space="preserve">ננטרל אותה בסימן חיובי. </t>
  </si>
  <si>
    <t xml:space="preserve">300,000 * 20% = </t>
  </si>
  <si>
    <t>עלייה</t>
  </si>
  <si>
    <t>חובה</t>
  </si>
  <si>
    <t>ירידה</t>
  </si>
  <si>
    <t>זכות</t>
  </si>
  <si>
    <t>תזכורת לגבי פקודות יומן</t>
  </si>
  <si>
    <t>כפי שחושבו בדוח ההתאמה</t>
  </si>
  <si>
    <t>כפי שבאו לידי ביטוי בשינוי במסים הנדחים לעיל</t>
  </si>
  <si>
    <t>פתרון שיעורי בית לאחר הרצאה 3</t>
  </si>
  <si>
    <t>שאלה נוספת - לתרגול מלא</t>
  </si>
  <si>
    <t>שיעורי בית לאחר הרצאה 3</t>
  </si>
  <si>
    <t>נכס</t>
  </si>
  <si>
    <t>תחילת</t>
  </si>
  <si>
    <t>סוף</t>
  </si>
  <si>
    <t>ה״ז נ״ל</t>
  </si>
  <si>
    <t>חייבת</t>
  </si>
  <si>
    <t>סך המס</t>
  </si>
  <si>
    <t>סוגיות מדידה א - הרצאה 6 (חלק א) - המשך חיזוק סוגיות</t>
  </si>
  <si>
    <t>שאלה 3 - היעדר צפי להכנסה חייבת בהיקף מספק והמשמעות של הביאור על המס התיאורטי</t>
  </si>
  <si>
    <t>שאלה 1 - ייחוס מסים כנגד קרן הון - השתלשלות קדימה - תרגול נוסף</t>
  </si>
  <si>
    <t xml:space="preserve">המכונה מופחתת על פני 10 שנים בשיטת הקו הישר, ללא ערך שייר / גרט. </t>
  </si>
  <si>
    <t>לאור שינויים תדירים בשווי ההוגן של מכונות לחימום נקניק, אימצה החברה תדירות הערכה מחדש של אחת לשנה.</t>
  </si>
  <si>
    <t xml:space="preserve">חברת ״עפריטה״ בע״מ (להלן: ״החברה״) רכשה ב-1.1.2023 מכונה לחימום נקניק בעלות של 500,000 ש״ח. </t>
  </si>
  <si>
    <t>המכונה צפויה לשרת את עובדי המשרד לאורך זמן כפי שמופיע בתמונה להלן שהיא חשובה מאד לשם פתרון</t>
  </si>
  <si>
    <t>השאלה:</t>
  </si>
  <si>
    <t>ידוע כי החברה מיישמת את הנחיות IAS 16 למדידת פריטי הרכוש הקבוע שבבעלותה.</t>
  </si>
  <si>
    <t>החברה מיישמת לגבי פריטי רכוש קבוע המשתייכים לקבוצת המכונות והציוד את מודל ההערכה מחדש.</t>
  </si>
  <si>
    <t xml:space="preserve">להלן נתונים בדבר אומדן השווי ההוגן של הפריט למועדים שונים, וכן הרווח החשבונאי של החברה לשנים </t>
  </si>
  <si>
    <t>שהסתיימו באותם התאריכים:</t>
  </si>
  <si>
    <t>החברה צופה הכנסה חייבת בעתיד הנראה לעין.</t>
  </si>
  <si>
    <t>שיעור המס אליו כפופה החברה הנו קבוע - 25%.</t>
  </si>
  <si>
    <t xml:space="preserve">רשות המסים מכירה בהוצאות פחת בפריסה ל-10 שנים ללא ערך שייר / גרט. </t>
  </si>
  <si>
    <t xml:space="preserve">רשות המסים איננה מכירה בהפסדים מירידת ערך ו/או רווחים מעליית ערך. </t>
  </si>
  <si>
    <t>נדרש, לכל אחת מהשנים 2023, 2024 ו-2025:</t>
  </si>
  <si>
    <t>ב. את התנועה במסים הנדחים.</t>
  </si>
  <si>
    <t>נייר עבודה לניטור הפרשים זמניים:</t>
  </si>
  <si>
    <t>****</t>
  </si>
  <si>
    <t>*****</t>
  </si>
  <si>
    <t>פרט לאמור לעיל לא התקיימו הבדלים / פערים בין רשות המסים לבין החשבונאות.</t>
  </si>
  <si>
    <t>טיפים / הדרכה:</t>
  </si>
  <si>
    <t xml:space="preserve">חשבו את ערך הספרים לכל מועד דיווח. </t>
  </si>
  <si>
    <t>חשבו את עליית הערך / ירידת הערך הכלכלית.</t>
  </si>
  <si>
    <t>חשבו את הוצאות הפחת לכל מועד דיווח.</t>
  </si>
  <si>
    <t xml:space="preserve">עליית ערך / ירידת ערך שנזקפת לרוו״ה - מייחסים מס כרגיל. </t>
  </si>
  <si>
    <t xml:space="preserve">עליית ערך / ירידת ערך שנזקפה לרווח כולל אחר - מייחסים לקרן. </t>
  </si>
  <si>
    <t>הוסף - הוצאות פחת שאינן מותרות בניכוי</t>
  </si>
  <si>
    <t>נכה - הוצאות פחת נוספות שמותרות בניכוי</t>
  </si>
  <si>
    <t>הוסף - ירידת ערך שנזקפה לרווח והפסד</t>
  </si>
  <si>
    <t>נכה - עליית ערך שנזקפה לרווח והפסד</t>
  </si>
  <si>
    <t>סך הכל הכנסה החייבת במס חברות</t>
  </si>
  <si>
    <t>השפעת הוצאות מס נדחה ברוו״ה</t>
  </si>
  <si>
    <t>סך הוצאות המס</t>
  </si>
  <si>
    <t>הוצאות המס:</t>
  </si>
  <si>
    <t>הוצאות מסים שוטפים (מועתק מלמעלה)</t>
  </si>
  <si>
    <t>דוחות התאמה:</t>
  </si>
  <si>
    <t>תנועה במס נדחה כנגד רווח כולל אחר:</t>
  </si>
  <si>
    <t>הוצאות פחת - ספרים</t>
  </si>
  <si>
    <t>הוצאות פחת - רשות המסים</t>
  </si>
  <si>
    <t>עליית ערך - לקרן</t>
  </si>
  <si>
    <t>ירידת ערך - לקרן</t>
  </si>
  <si>
    <t>ירידת ערך - לרווח והפסד</t>
  </si>
  <si>
    <t>תקרה פעילה?</t>
  </si>
  <si>
    <t>אומדן שווי</t>
  </si>
  <si>
    <t>פער - פחת שלא מוכר (+) פחת נוסף שמוכר (-)</t>
  </si>
  <si>
    <t>פחת ספרים מול רשות המסים</t>
  </si>
  <si>
    <t>עלייה / ירידת ערך - ערך ספרים טרם שערוך מול שווי</t>
  </si>
  <si>
    <t>ערך ספרים ערב השערוך</t>
  </si>
  <si>
    <t>עליית ערך (ירידת ערך)</t>
  </si>
  <si>
    <t>יתרת עמ״מ - עלות מקורית מופחתת (אינדיקטיבי)</t>
  </si>
  <si>
    <t>כן</t>
  </si>
  <si>
    <t>הפסד כולל אחר - מס נדחה</t>
  </si>
  <si>
    <t>רווח כולל אחר - מס נדחה</t>
  </si>
  <si>
    <t xml:space="preserve">בעיקרון - כל ירידת ערך שאיננה מוכרת למס יוצרת הטבת מס. </t>
  </si>
  <si>
    <t xml:space="preserve">במצב ״רגיל״ שבו ירידת הערך כנגד רווח והפסד, הטבת המס נזקפת כנגד רווח והפסד גם (קיטון בהוצאות המס). </t>
  </si>
  <si>
    <t xml:space="preserve">במצב ״מיוחד״ שבו ירידת הערך כנגד קרן ההון, הטבת המס נזקפת כנגד קרן הון (לרווח כולל אחר). </t>
  </si>
  <si>
    <t xml:space="preserve">במצב ״רגיל״ שבו עליית הערך כנגד רווח והפסד, מחויבות המס העתידית הנובעת מכך נזקפת כהוצאת מס נדחה כנגד רווח והפסד (עלייה בהוצאות המס). </t>
  </si>
  <si>
    <t xml:space="preserve">במצב ״מיוחד״ שבו עליית הערך כנגד קרן הון, מחויבות תשלום המס נזקפת כנגד קרן הון (להפסד כולל אחר). </t>
  </si>
  <si>
    <t>במילים פשוטות:</t>
  </si>
  <si>
    <t xml:space="preserve">נכס מס נדחה משקף הטבת מס. </t>
  </si>
  <si>
    <t xml:space="preserve">הטבת מס זו ===&gt; לא מתקבלת בצורה של תקבול מזומן ישיר בעתיד. </t>
  </si>
  <si>
    <t xml:space="preserve">אלא בדרך של ===&gt; הקטנה בתשלומי המס העתידיים (כאשר ההוצאה תוכר לצורך מס). </t>
  </si>
  <si>
    <t>אבל אם החברה גם כך לא תגיע לרף ההכנסה המחייב במס ===&gt; עצם קיום הוצאה נוספת לא יכולה ליצור הטבה.</t>
  </si>
  <si>
    <t>הדגמה:</t>
  </si>
  <si>
    <t xml:space="preserve">בחברת ״שלומי״ בע״מ (להלן: ״החברה״) ידוע כי הרווח החשבונאי הסתכם ב-2024 בסכום של 1,000,000 ש״ח. </t>
  </si>
  <si>
    <t>במהלך השנה נוצרו הוצאות פחת בספרים שהן גבוהות מהוצאות הפחת לצורך מס ב-40,000 ש״ח.</t>
  </si>
  <si>
    <t>רואה החשבון של החברה, דנינו, טוען:</t>
  </si>
  <si>
    <t>״בעקבות האירוע עלינו להגדיל את נכסי המסים הנדחים בחברה, ולהקטין את הוצאות המס בהתאם.</t>
  </si>
  <si>
    <t>אין ספק שהמשקיעים יתרשמו לטובה מהירידה בנטל המס המשתקפת בדיווחים התוצאתיים״</t>
  </si>
  <si>
    <t xml:space="preserve">נדרש א מהם השיקול/ים הנוספ/ים שעל דנינו לשקול, אם בכלל, טרם יכיר בהשפעות שציין בדיווחי 2024. </t>
  </si>
  <si>
    <t>התשובה: כדי להכיר בנכס מס נדחה ובהשפעה התוצאתית הנלווית נדרש שתהיה הכנסה חייבת בעתיד שכנגדה</t>
  </si>
  <si>
    <t xml:space="preserve">ניתן יהיה להתיר בניכוי את ההוצאה הנדחית לצורך מס וכך להקטין את נטל המס (כהטבה כלכלית). </t>
  </si>
  <si>
    <t>בשאלה אין נתונים כלשהם לגבי היכולת להניב הכנסות חייבות במס כאמור בעתיד, עצם קיום הרווח בהווה</t>
  </si>
  <si>
    <t xml:space="preserve">איננו ערובה מספקת לכך. </t>
  </si>
  <si>
    <t xml:space="preserve">נדרש ב רואה החשבון רועי ציין בתגובה: ״הואיל ובשנה הבאה צפוי רווח חשבונאי בסך 40,000 ש״ח, </t>
  </si>
  <si>
    <t>אין ספק שנוכל להנות מהטבת המס הצפויה. ובהינתן נתון נוסף זה, בהחלט עלינו להכיר בנכס מס נדחה״</t>
  </si>
  <si>
    <t>עלינו להיות זהירים:</t>
  </si>
  <si>
    <t>התקן מגדיר שהטבת המס תתקבל רק אם תהיה *הכנסה חייבת בעתיד שכנגדה ניתן יהיה לקזז את ההוצאה*</t>
  </si>
  <si>
    <t>עצם קיום רווח חשבונאי בעתיד:</t>
  </si>
  <si>
    <t xml:space="preserve">א. לא מעיד על קיומו כהכנסה חייבת </t>
  </si>
  <si>
    <t xml:space="preserve">ב. לא מביא בחשבון השפעות נוספות על ההכנסה החייבת (קיזוזים, הפסדים מועברים וכיו״ב). </t>
  </si>
  <si>
    <t>ג. השפעות נוספות שמובילות להכנסה חייבת נמוכה מהערך החשבונאי של הרווח</t>
  </si>
  <si>
    <t xml:space="preserve">ד. חשוב מאד: עצם העובדה שנוצר הפרש זמני - לא אומר שום דבר על עיתוי היפוכו. </t>
  </si>
  <si>
    <t>כך שלמעשה - עצם קיום הכנסה חייבת בשנה הבאה לא אומר שעיתוי ההיפוך</t>
  </si>
  <si>
    <t>והיכולת לנצל ההטבה יתקיימו באותו מועד.</t>
  </si>
  <si>
    <t>אני החברה</t>
  </si>
  <si>
    <t>מחזיק בנכס מס נדחה</t>
  </si>
  <si>
    <t>שכמו הבובה החמודה</t>
  </si>
  <si>
    <t>הוא מאד שברירי</t>
  </si>
  <si>
    <t>לפי מודל השווי ההוגן, אך רשות המסים מודדת פריטים אלו לפי מודל העלות. השווי ההוגן של המבנה ליום 31.12.2020</t>
  </si>
  <si>
    <t xml:space="preserve">ערך הספרים </t>
  </si>
  <si>
    <t>הפסד חשבונאי</t>
  </si>
  <si>
    <t>הוסף: ירידת ערך נדל״ן</t>
  </si>
  <si>
    <t>נכה: פחת לצורך מס נדל״ש</t>
  </si>
  <si>
    <t>שיעור מס שוטף</t>
  </si>
  <si>
    <t>הוסף: י״ע נדל״ן</t>
  </si>
  <si>
    <t>מס שוטף לתשלום</t>
  </si>
  <si>
    <t>לאור היעדר צפי להכנסה חייבת, אין ליצור</t>
  </si>
  <si>
    <t xml:space="preserve">נכס מס נדחה. </t>
  </si>
  <si>
    <t>מסים נדחים 2020:</t>
  </si>
  <si>
    <t>מסים נדחים 2021:</t>
  </si>
  <si>
    <t xml:space="preserve">קיים צפי להכנסה חייבת גבוהה. </t>
  </si>
  <si>
    <t>נכס המס הנדחה בגין הנדל״ן:</t>
  </si>
  <si>
    <t>נכס מס נדחה - הפסד להעברה:</t>
  </si>
  <si>
    <t xml:space="preserve">(225,000 + 275,000) * 23% = </t>
  </si>
  <si>
    <t>סך הכל נכס מס נדחה ל-31/12/2021:</t>
  </si>
  <si>
    <t>עד כה, עסקנו בחברות רווחיות. לא הצגנו מקרה של חברה עם הכנסה חייבת שלילית</t>
  </si>
  <si>
    <t>שנקראת בשפה פשוטה ״הפסד להעברה״.</t>
  </si>
  <si>
    <t>המשמעות המיסויית של הפסד להעברה - היא שניתן יהיה לקזזו כנגד הכנסה חייבת</t>
  </si>
  <si>
    <t>בשנים הבאות.</t>
  </si>
  <si>
    <t>רכיב זה משקף לפיכך בסיס להטבה מיסויית נוספת אשר תתממש כאשר קיזוז ההפסד יבוצע</t>
  </si>
  <si>
    <t>אל מול הכנסה חייבת מתאימה.</t>
  </si>
  <si>
    <t>תכל׳ס: אם אני צופה הכנסה חייבת בעתיד, אדאג שההפסדים הצבורים שטרם נוצלו</t>
  </si>
  <si>
    <t>גם בגין השנה וגם בגין שנים קודמות - יוכפלו בשיעור המס העתידי הצפוי במועד הקיזוז</t>
  </si>
  <si>
    <t xml:space="preserve">כדי ליצור נכס מס נדחה נוסף בגינם. </t>
  </si>
  <si>
    <t>סיכום יתרת ההפסדים להעברה</t>
  </si>
  <si>
    <t>למועד הדיווח (כולל שנים קודמות)</t>
  </si>
  <si>
    <t>פקודת היומן:</t>
  </si>
  <si>
    <t>הואיל ובשנה שעברה לא התקיימה יתרה, כל ערכו</t>
  </si>
  <si>
    <t>של הנכס הוא תנועה של השנה שנזקף כנגד הוצ׳ מס נדחה</t>
  </si>
  <si>
    <t>הביאור על המס התיאורטי - 2020</t>
  </si>
  <si>
    <t>הביאור על המס התיאורטי - 2021</t>
  </si>
  <si>
    <t xml:space="preserve">בניכוי: </t>
  </si>
  <si>
    <t>אי הכרה בנכס מס בהיעדר הכנסה חייבת עתידית צפויה</t>
  </si>
  <si>
    <t>סך הכל הכנסות מס ברווח והפסד</t>
  </si>
  <si>
    <t>סך הכנסות המס ברווח והפסד</t>
  </si>
  <si>
    <t>השפעה חיובית של שינוי צפי ניצול ההפסד המועבר מ-2020</t>
  </si>
  <si>
    <t xml:space="preserve">נכסיו והכנסותיו משמשים לקידום מטרותיו הציבוריות; ו"רווחיו" אינם ניתנים לחלוקה לחבריו. </t>
  </si>
  <si>
    <t>ג. דוח על השינויים בנכסים נטו (יכול להיות משולב בדוח על הפעילויות) &gt;&gt;&gt; "המקבילה״ לדוח על השינויים בהון.</t>
  </si>
  <si>
    <r>
      <t xml:space="preserve">כל השינויים בנכסים נטו שלא קיימת לגביהם הגבלה - </t>
    </r>
    <r>
      <rPr>
        <u/>
        <sz val="12"/>
        <color theme="1"/>
        <rFont val="David"/>
      </rPr>
      <t>הכנסות</t>
    </r>
    <r>
      <rPr>
        <sz val="12"/>
        <color theme="1"/>
        <rFont val="David"/>
      </rPr>
      <t xml:space="preserve">, </t>
    </r>
    <r>
      <rPr>
        <u/>
        <sz val="12"/>
        <color theme="1"/>
        <rFont val="David"/>
      </rPr>
      <t>הוצאות</t>
    </r>
    <r>
      <rPr>
        <sz val="12"/>
        <color theme="1"/>
        <rFont val="David"/>
      </rPr>
      <t>, ו</t>
    </r>
    <r>
      <rPr>
        <u/>
        <sz val="12"/>
        <color theme="1"/>
        <rFont val="David"/>
      </rPr>
      <t>שחרור מהגבלה</t>
    </r>
    <r>
      <rPr>
        <sz val="12"/>
        <color theme="1"/>
        <rFont val="David"/>
      </rPr>
      <t xml:space="preserve"> - מוצגים בדוח על הפעילויות.</t>
    </r>
  </si>
  <si>
    <t xml:space="preserve">השורה התחתונה בדוח על הפעילויות </t>
  </si>
  <si>
    <t>תיזקף גם לדוח על השינויים בנכסים נטו</t>
  </si>
  <si>
    <t>יחד עם פריטים נוספים שלא כלולים בדוח על הפעילויות עצמו</t>
  </si>
  <si>
    <t>אמל״ק:</t>
  </si>
  <si>
    <t>כל מה שקשור כאילו להכנסות</t>
  </si>
  <si>
    <t>והוצאות זה יעני החלק הלא מוגבל</t>
  </si>
  <si>
    <t>ואם יש דברים מוגבלים שאתה</t>
  </si>
  <si>
    <t xml:space="preserve">מקבל זה במקום אחר, </t>
  </si>
  <si>
    <t xml:space="preserve">זה כאילו סוג אחר של ״הון״ </t>
  </si>
  <si>
    <t>ונרשם במקום אחר בדוח על השינויים</t>
  </si>
  <si>
    <t>בנכסים נטו</t>
  </si>
  <si>
    <t>רגע לפני התחלת חפירה:</t>
  </si>
  <si>
    <t>במלכ״ר המטרה היא ניצול תקציב למטרותיו</t>
  </si>
  <si>
    <t>וכן במקרים רבים מוטלת מגבלת שימוש על משאביו</t>
  </si>
  <si>
    <t>לכן, החלוקה / הפיצול בין נכסים נטו מוגבלים ושאינם</t>
  </si>
  <si>
    <t>וכן הפיצול לגבי הייעוד של הנכסים נטו הלא מוגבלים</t>
  </si>
  <si>
    <t xml:space="preserve">חשוב / יכול לספק ערך לבעלי העניין. </t>
  </si>
  <si>
    <t>ננל״ה לשפש״י</t>
  </si>
  <si>
    <t>קניתי ר״ק 120,000</t>
  </si>
  <si>
    <t>הקטנת רכיב הנ״נ שאיננו מוגבל ואיננו מיועד</t>
  </si>
  <si>
    <t>הגדלת רכיב הנ״נ שאיננו מוגבל ששימש לר״ק</t>
  </si>
  <si>
    <t>זכרו: נכסים נטו הן כעין ״הון עצמי״</t>
  </si>
  <si>
    <t>כאשר רוצים להקטין רכיב הון עצמי</t>
  </si>
  <si>
    <t>מסוים (כאן - ננ״ה לא מוגבלים שלא יועדו)</t>
  </si>
  <si>
    <t xml:space="preserve">עושים זאת בחובה. </t>
  </si>
  <si>
    <t>כאשר רוצים להגדיל רכיב ״הון עצמי מסוים״</t>
  </si>
  <si>
    <t>כאן - ננ״ה לא מוגבלים ששימשו לרכוש קבוע</t>
  </si>
  <si>
    <t xml:space="preserve">עושים זאת בזכות. </t>
  </si>
  <si>
    <t>הכי קצר שאני יודע: מלכ״ר רוכש רכוש קבוע מעבר לרישום הרכישה עצמה הוא מעביר פנימית בתוך הנכסים נטו מ״ננה לא מוגבל שלא יועד״ ל&gt;&gt;״שימשו לרכוש קבוע״</t>
  </si>
  <si>
    <t>תכל׳ס - רכישת רכוש קבוע במקרה הפשוט:</t>
  </si>
  <si>
    <t>נעבור לסוגיית המדידה של הרכוש הקבוע (מודל העלות - פחת):</t>
  </si>
  <si>
    <t xml:space="preserve">הוצ' פחת מוצגות בדוח על הפעילויות, ש״השורה התחתונה שלו״ </t>
  </si>
  <si>
    <t xml:space="preserve">מקטינה נ"נ ללא הגבלה שלא יועדו. </t>
  </si>
  <si>
    <t>שוב נוצרת בעיה בנ"נ כי הנ"נ שלא יועדו לא אמורים</t>
  </si>
  <si>
    <t>צד ה״התחייבויות וההון״ בחברה רגילה אצלנו:</t>
  </si>
  <si>
    <r>
      <t xml:space="preserve">להשתנות (הם כבר ירדו בכל העלות במועד הרכישה) והנ"נ שהושקעו בנכסים קבועים היו אמורים לרדת, לכן מוסיפים </t>
    </r>
    <r>
      <rPr>
        <b/>
        <sz val="12"/>
        <color theme="1"/>
        <rFont val="David"/>
      </rPr>
      <t>פע' מיון בנ"נ</t>
    </r>
  </si>
  <si>
    <t>&lt;&lt;&lt;</t>
  </si>
  <si>
    <t>כי הערך צריך לרדת מהחלק שקשור לר״ק</t>
  </si>
  <si>
    <t>נטרול הירידה בסעיף שנובעת מהוצ׳ הפחת</t>
  </si>
  <si>
    <t>ז' פחנ"צ (פחת שנצבר)</t>
  </si>
  <si>
    <t>בקצרה:</t>
  </si>
  <si>
    <t xml:space="preserve">התקן קובע שחובה לייצג את כל העודף / הגירעון השוטף (הכנסות פחות הוצאות) כערך אחד במסגרת התנועות </t>
  </si>
  <si>
    <t xml:space="preserve">בשינויים בנכסים נטו הלא מוגבלים שלא יועדו. </t>
  </si>
  <si>
    <t>והואיל וחלק מהערכים בגירעון הנ״ל נובעים מפעילות שהשפיעה דווקא על רכוש קבוע, מייצרים התאמה שמעבירה</t>
  </si>
  <si>
    <t xml:space="preserve">את החלק הרלוונטי מלשימוש לפעילויות שלא יועדו &gt;&gt;&gt; שימשו לנכסים קבועים. </t>
  </si>
  <si>
    <t>ח׳ מכונה לחימום נקניק - רכוש קבוע</t>
  </si>
  <si>
    <t>אופן הטיפול בפריט רכוש קבוע</t>
  </si>
  <si>
    <t>שמוערך מחדש דומה מאד עקרונית</t>
  </si>
  <si>
    <t>לאופן הטיפול במודל העלות,</t>
  </si>
  <si>
    <t>רק שעצם השערוך מהווה תנועה</t>
  </si>
  <si>
    <t>נוספת בנ״נ ללא הגבוה שהושקעו</t>
  </si>
  <si>
    <t xml:space="preserve">בנכסים קבועים. </t>
  </si>
  <si>
    <t>מדוע לא רושמים בנכסים פשוט ״מזומן״?</t>
  </si>
  <si>
    <t xml:space="preserve">בגסות רבה - סעיף ״מזומן״ בחברות משקף נכסים ״נזילים״. </t>
  </si>
  <si>
    <t>כזה שבעלי העניין מתרשמים מהיכולת שלו לשרת כל פעילות נדרשת / סילוק התחייבויות.</t>
  </si>
  <si>
    <t xml:space="preserve">אם המזומן ״מוגבל״ - צריך להביא לידי ביטוי את מגבלת השימוש הזו. </t>
  </si>
  <si>
    <t>מעבר לכך וכפי שציין אליעזר, עצם קבלת תרומה מוגבלת איננה בגדר הכנסה... אך בכך נדון בהמשך</t>
  </si>
  <si>
    <t>שכן עולם המגבלות הוא ארוך ומעייף (סוג המגבלה, משמעותה...).</t>
  </si>
  <si>
    <t xml:space="preserve">תפארת ציינה: ד״ר צבאן, בשפה פשוטה, אם יש לי ציור של אומן מוכר, אצלי במלכ״ר, שמספק עוף טחון לנזקקים, </t>
  </si>
  <si>
    <t>אינני מחזיקה את הציור לטובת תצוגה לקהל, לא צריך לתחזק אותו (את הציור), זהו נכס - נכס ״ציור״.</t>
  </si>
  <si>
    <t>אם את מפעילה מלכ״ר שנקרא ״מוזיאון הנקניקים העולמי״ ושם יש ציור אבסטרקטי מפורסם של מעיים שעוטפות בשר טחון,</t>
  </si>
  <si>
    <t xml:space="preserve">אזי סביר מאד להניח שהפריט מוחזק לצורך תצוגה, ושומרים עליו היטב, מתחזקים אותו וכו׳. </t>
  </si>
  <si>
    <t>במצב כזה, היצירה (הציור) הוא אוסף או ״חלק מאוסף״.</t>
  </si>
  <si>
    <t>ואז יש כמה אפשרויות לטפל בו:</t>
  </si>
  <si>
    <t xml:space="preserve">נכס / מגדירה מועד עתידי שבו הפריט יוגדר כנכס / רק להעניק גילוי. </t>
  </si>
  <si>
    <t>אם התקיים התנאי שהגדיר את מגבלת שימוש הכספים שהוגדרה על ידי התורם במהלך התקופה, יש להכיר בהכנסות בדוח על הפעילויות במקביל</t>
  </si>
  <si>
    <t>מהן פקודות היומן בספרי העמותה לשנת 2022?</t>
  </si>
  <si>
    <t xml:space="preserve">וסטודנטיות במוסד אקדמי מוביל (והתורם הגביל את השימוש בכסף למטרה זו בלבד). </t>
  </si>
  <si>
    <t>דוח על הפעילויות - 2022:</t>
  </si>
  <si>
    <t>הוצאות בגין נקניק</t>
  </si>
  <si>
    <t>הכנסות משחרור מנ״נ שהוגבלו</t>
  </si>
  <si>
    <t>גירעון שנתי</t>
  </si>
  <si>
    <t>נ״נ לא מוגבל</t>
  </si>
  <si>
    <t>נ״נ</t>
  </si>
  <si>
    <t>מוגבלים</t>
  </si>
  <si>
    <t>התנועות בדוח על השינויים בנכסים נטו - 2022:</t>
  </si>
  <si>
    <t>קבלת תרומה מוגבלת 1.4</t>
  </si>
  <si>
    <t>שחרור מגבלה 1.7</t>
  </si>
  <si>
    <t xml:space="preserve">תרומה מותנית היא תרומה הכוללת התניה שהטיל תורם (או גורם חיצוני אחר) שמייצג חסם שחייבים להתגבר </t>
  </si>
  <si>
    <t xml:space="preserve">סכום דומה מאוניברסיטה אחרת, עד לתאריך מסוים. במידה והפעולה לא תבוצע - יוחזרו הכספים לאונ׳ X. </t>
  </si>
  <si>
    <t>דוגמא קטנה: אוניברסיטה X התחייבה לשלם למוסד מחקרי מלכ״ר סכום מסוים, אם ורק אם היא תצליח לגייס</t>
  </si>
  <si>
    <t>התקן מציין (סעיף 58) סימנים שיכולים לעזור לזהות האם ההסכם לתרומה כולל ״חסם״ - התניה שהופכת את התרומה למותנית:</t>
  </si>
  <si>
    <t>ויתר עליהם מפורשות. מקדמה זו היא בגדר התחייבות לתורם עד אשר הושגו התנאים הרלוונטיים.</t>
  </si>
  <si>
    <t>זוהי דוגמא לתרומה מותנית</t>
  </si>
  <si>
    <t>משום שקיים יעד ביצועי</t>
  </si>
  <si>
    <t xml:space="preserve">ויצירת ראיות להישגים </t>
  </si>
  <si>
    <t>בתחום פעילות המלכ״ר</t>
  </si>
  <si>
    <t>ולא רק מגבלה לגבי היעד</t>
  </si>
  <si>
    <t>שאליו ינותבו הכספים</t>
  </si>
  <si>
    <t>למלכ״ר שהוא בית חולים לנקניקים יש תכנית מחקר. המלכ״ר מקבל מענק בסכום של 300,000 ש״ח מסוכנות</t>
  </si>
  <si>
    <r>
      <t xml:space="preserve">ההסכם לתקופה מוגדרת - </t>
    </r>
    <r>
      <rPr>
        <b/>
        <sz val="12"/>
        <color theme="1"/>
        <rFont val="David"/>
      </rPr>
      <t>מחולטים (המדינה תיקח אותם חזרה)</t>
    </r>
    <r>
      <rPr>
        <sz val="12"/>
        <color theme="1"/>
        <rFont val="David"/>
      </rPr>
      <t xml:space="preserve"> והסוכנות דורשת החזר בגין הוצאות כלשהן שאינן</t>
    </r>
  </si>
  <si>
    <t>קיימים תנאים:</t>
  </si>
  <si>
    <t>א. ציות לחוק ולתקנות</t>
  </si>
  <si>
    <t>ב. עמידה בפרק זמן</t>
  </si>
  <si>
    <t xml:space="preserve">אי עמידה בהם והופ - </t>
  </si>
  <si>
    <t>הכסף חוזר למדינה</t>
  </si>
  <si>
    <t>מגבלה ללא זכות</t>
  </si>
  <si>
    <t>חזרה לכספים</t>
  </si>
  <si>
    <t>מגבלה: חימום נקניק</t>
  </si>
  <si>
    <t>סיכום ביניים:</t>
  </si>
  <si>
    <t>הצגנו מגבלות - בקצרה: תיחום הפעולות שניתן לבצע עם הכסף. ״אפשר להשתמש רק לשם מלגות לסטודנטים״ / ״רק לשם רכוש קבוע״.</t>
  </si>
  <si>
    <t xml:space="preserve">הצגנו התניות - בקצרה: סוג של תנאי / חסם, שאם לא מתקיים עד מועד נתון, הישות צריכה ״לוותר״ על זכאותה להטבה. </t>
  </si>
  <si>
    <t xml:space="preserve">תרומה מוגבלת מוכרת מיד - עלייה בנ״נ מוגבלים. </t>
  </si>
  <si>
    <t xml:space="preserve">תרומה מותנית - מובילה להכרה בהתחייבות עד קיום התנאי. </t>
  </si>
  <si>
    <r>
      <t xml:space="preserve">הבטחה היא הסכם </t>
    </r>
    <r>
      <rPr>
        <b/>
        <sz val="12"/>
        <color theme="1"/>
        <rFont val="David"/>
      </rPr>
      <t>מתועד</t>
    </r>
    <r>
      <rPr>
        <sz val="12"/>
        <color theme="1"/>
        <rFont val="David"/>
      </rPr>
      <t xml:space="preserve"> לתרום מזומן או נכסים אחרים בעתיד לישות אחרת </t>
    </r>
    <r>
      <rPr>
        <b/>
        <sz val="12"/>
        <color theme="1"/>
        <rFont val="David"/>
      </rPr>
      <t>הניתן לאכיפה משפטית</t>
    </r>
    <r>
      <rPr>
        <sz val="12"/>
        <color theme="1"/>
        <rFont val="David"/>
      </rPr>
      <t>.</t>
    </r>
  </si>
  <si>
    <t>כי יש מגבלה &gt;&gt;&gt; שימוש בכסף לנקניק</t>
  </si>
  <si>
    <t xml:space="preserve">הטיקטוקר הלא פחות אגדי עידו (מנכ״ל העמותה) השיג תרומות למלכ״ר ממקורות אחרים בסכום כולל של 140,000 ש״ח עד ל-30.9.2023. </t>
  </si>
  <si>
    <t xml:space="preserve">בהתאם לתנאי ההסכם, הועברו בשנת 2023 הסכומים הרלוונטיים משני התורמים. </t>
  </si>
  <si>
    <t xml:space="preserve">140,000 * 4 = </t>
  </si>
  <si>
    <t>יש הבטחה מותנית.</t>
  </si>
  <si>
    <t xml:space="preserve">לתשלום בעתיד. </t>
  </si>
  <si>
    <t xml:space="preserve">אבל בכפוף להתניה. </t>
  </si>
  <si>
    <t>שטרם התרחשה.</t>
  </si>
  <si>
    <t xml:space="preserve">לכן - </t>
  </si>
  <si>
    <t>מתייחס להכרה בהכנסה בגין התרומות</t>
  </si>
  <si>
    <t>הנוספות שגייסתי בלי קשר לליר</t>
  </si>
  <si>
    <t xml:space="preserve">אני לא מכיר בהבטחה בדיווחים, </t>
  </si>
  <si>
    <t>משום שההתניה הרלוונטית לזכאות לכספים</t>
  </si>
  <si>
    <t xml:space="preserve">טרם התקיימה עד מועד הדיווח. </t>
  </si>
  <si>
    <t>התקיימות התנאי ב-2023 היא אירוע שאיננו מחייב התאמה.</t>
  </si>
  <si>
    <t>תרומה נוספת שגויסה ע״י העמותה</t>
  </si>
  <si>
    <t>על חלקו של ליר &gt;&gt;&gt; התנאי התקיים</t>
  </si>
  <si>
    <t>אין מגבלה כלשהי על אופן השימוש בכסף, הכנסה.</t>
  </si>
  <si>
    <t xml:space="preserve">כמו שהשוודי אומר: ״שייקה, איבדתי את כל החשק לתרום אחרי המפגש הזה. </t>
  </si>
  <si>
    <t>אני רק חושב על החשבונאים המסכנים שמסתתרים מאחורי הקלעים לתפעל פיננסית</t>
  </si>
  <si>
    <t>את התיעוד, ולבי לא נותן לי״.</t>
  </si>
  <si>
    <t>ובאמת, הצגנו לא מעט מושגים: ננ״ה, בננה, שוקולד, מגבלה והיעדרה, התניה ופיצולים פנימיים,</t>
  </si>
  <si>
    <t xml:space="preserve">העברות אוטומטיות וחלקיות וכיו״ב. </t>
  </si>
  <si>
    <t xml:space="preserve">את המפגש הבא נפתח בסיכום מלא של כלל הערכים הללו, כבסיס לדיון באירועים הנוספים. </t>
  </si>
  <si>
    <t>סוג התניה</t>
  </si>
  <si>
    <t>אין התניה</t>
  </si>
  <si>
    <t>סוג מגבלה</t>
  </si>
  <si>
    <t>אין מגבלה</t>
  </si>
  <si>
    <t>אופן הטיפול</t>
  </si>
  <si>
    <t xml:space="preserve">הכרה בהכנסה מתרומה כנגד הנכס המתקבל. </t>
  </si>
  <si>
    <t>סוג התרומה</t>
  </si>
  <si>
    <t>תרומת נכס</t>
  </si>
  <si>
    <t>הבטחה</t>
  </si>
  <si>
    <t>התניה</t>
  </si>
  <si>
    <t>הכרה בנכס שהתקבל כנגד התחייבות.</t>
  </si>
  <si>
    <t>יש מגבלה</t>
  </si>
  <si>
    <t>משהו בקטנה לילדים - זה לא ממצה, אבל ממש ביקשתם סוג של מיני סיכומון ראשוני:</t>
  </si>
  <si>
    <t>אין  מגבלה</t>
  </si>
  <si>
    <t xml:space="preserve">הכרה בהכנסה מתרומה כנגד ההבטחה (נכס חייבים). </t>
  </si>
  <si>
    <t>הכרה בנכסים נטו מוגבלים כנגד ההבטחה (נכס חייבים)</t>
  </si>
  <si>
    <t>יש התניה</t>
  </si>
  <si>
    <t>לא מכירים!</t>
  </si>
  <si>
    <t>סוגיות מדידה א - הרצאה 8  - מלכר״ים</t>
  </si>
  <si>
    <t>רענון קצר:</t>
  </si>
  <si>
    <t>בחשבונאות של מלכ״רים - מוסדות ללא כוונת רווח - יש לתת ביטוי לא רק ל״עסקה עצמה״ אלא לרכיבי ההון הנובעים</t>
  </si>
  <si>
    <t>ממנה, בהפרדה בין - נכסים נטו מוגבלים, נכסים נטו לא מוגבלים לשימוש לפעילויות, נכסים נטו לא מוגבלים ששימשו</t>
  </si>
  <si>
    <t>לרכוש קבוע...</t>
  </si>
  <si>
    <t>בנוסף עסקנו בשלהי המפגש בהבדל שבין הגבלה (התניה למלכ״ר להשתמש בתמורה למטרה מסוימת בלבד) לבין תרומה</t>
  </si>
  <si>
    <t>מותנית ממש (שלא מהווה הון עצמי עד למילוי ההתניה, יותר דומה להתחייבות בגין מקדמה) לבין הבטחה מותנית שלא</t>
  </si>
  <si>
    <t xml:space="preserve">תוכר עד קיום התנאי. </t>
  </si>
  <si>
    <t>נמשיך כעת בעולמן של התרומות, השפעתן על נכסי המלכ״ר ועל גווני ה״ההון העצמי״ (הנכסים נטו שלו) במקרים נוספים.</t>
  </si>
  <si>
    <t>יגדלו &gt;&gt;&gt;&gt;</t>
  </si>
  <si>
    <t>הרי ככלל, אם קיבלנו נכסים - אולי זו הכנסה מתרומה?</t>
  </si>
  <si>
    <t xml:space="preserve">הטענה היא: שכדי שקבלת נכס אכן תוכר כתרומה, היא לא יכולה להיות מותנית / מוגבלת. </t>
  </si>
  <si>
    <t xml:space="preserve">אם מגבלה על השימוש במשאבים שהועברו למלכ״ר (אם אם זה כסוג של תרומה) - לא נכיר </t>
  </si>
  <si>
    <t xml:space="preserve">בהכנסות (בדוח על הפעילויות) אלא רק בעלייה בנכסים נטו - וספציפית: בנכסים נטו מוגבלים. </t>
  </si>
  <si>
    <t xml:space="preserve">למשל: אם העברתי למלכ״ר שנותן שירותים לחינוך מוסיקלי לילדים פסנתר. </t>
  </si>
  <si>
    <t xml:space="preserve">ככל שהתניתי את העברת הפסנתר בהנחייה מפורשת שאומרת שבמידה והפסנתר יימכר נדרש </t>
  </si>
  <si>
    <t>יהיה להשתמש בתמורה לרכוש פסנתרים או כלי נגינה אחרים - אז מדובר בתרומת נכס שלא תהווה הכנסה.</t>
  </si>
  <si>
    <r>
      <t xml:space="preserve">נכסים </t>
    </r>
    <r>
      <rPr>
        <b/>
        <sz val="12"/>
        <color theme="1"/>
        <rFont val="David"/>
      </rPr>
      <t>שתמורתם לא הוגבלה [נכסים שנתרמו, אבל התמורה ממכירתם איננה כפופה למגבלה שהטיל התורם]</t>
    </r>
    <r>
      <rPr>
        <sz val="12"/>
        <color theme="1"/>
        <rFont val="David"/>
      </rPr>
      <t>, יטופלו כדלקמן:</t>
    </r>
  </si>
  <si>
    <t>הדגמה קטנה: עפריטה תרמה למלכ״ר ״חסדי נעמי״ מכונה לחימום נקניק בשווי 40,000 ש״ח.</t>
  </si>
  <si>
    <t xml:space="preserve">במכתב הנלווה לתרומה ציינה עפריטה: ״תודה רבה חסדוש שלי, על כל העזרה לאלו שרוצים עוף בשבת. </t>
  </si>
  <si>
    <t>מצרפת בזאת תרומה צנועה שלי, מכונה חדשה לחימום נקניק. השתמשו בה כראות עיניכם. אוהבת, ע.״</t>
  </si>
  <si>
    <t>המקרה: העברת נכס מאת תורם &gt;&gt;&gt; שתמורתו לא הוגבלה &gt;&gt;&gt; ללא מגבלת זמן נדרשת לשימוש:</t>
  </si>
  <si>
    <t>ז׳ הכנסות מתרומת נכסים</t>
  </si>
  <si>
    <t>ח׳ מכונה לחימום נקניק</t>
  </si>
  <si>
    <t>חלה עלייה בדוח על הפעילויות</t>
  </si>
  <si>
    <t>נזקפת לנ״נ לא מוגבלים שלא יועדו</t>
  </si>
  <si>
    <t>כדי למיין את התנועה לנ״נ ששימשו לר״ק:</t>
  </si>
  <si>
    <t>מנכסים נטו לשימוש לפעילויות שלא יועדו &gt;&gt;&gt;&gt;&gt;&gt;&gt; לנכסים נטו שהושקעו בנכסים קבועים</t>
  </si>
  <si>
    <t>הקטנת רכיב ״ההון״ נ״נ לא מוגבלת</t>
  </si>
  <si>
    <t>הגדלת רכיב ההון נ״נ לר״ק</t>
  </si>
  <si>
    <t>פרשנות קטנה: למעשה, כשמקבלים את הנכס, מכירים בו ובעלייה ברכיב ה״הון״ שנקרא נכסים נטו</t>
  </si>
  <si>
    <t>מוגבלים. לאורך התקופה, הנכס משרת אותנו, מופחת, ובמקביל מכירים בהכנסות שנובעות מהניצול</t>
  </si>
  <si>
    <t xml:space="preserve">של ההטבה (המחשה בהמשך). </t>
  </si>
  <si>
    <t>פרשנות קטנה: גם אם התורם העביר כסף אמיתי, לצורך העניין - אבל הגביל אותו במובן זה שהכסף יכול לשמש רק להקמה</t>
  </si>
  <si>
    <t>או לרכישה של נכסים ספציפיים, מדובר בתרומה מוגבלת לכל דבר ועניין.</t>
  </si>
  <si>
    <t>הדגמה: דנינו תרם מלא עופות שחוטים לחסדי נעמי. סביר להניח שמדובר בפריט שחסדי נעמי</t>
  </si>
  <si>
    <t>תצרוך בשוטף / באופן מהיר מאד. במקרה כזה, חסדי נעמי תכיר בהכנסה בהתאם לשווי העופות שלא שפר עליהם גורלם,</t>
  </si>
  <si>
    <t xml:space="preserve">אבל גם כהוצאה בגין צריכתם / השימוש בהם. </t>
  </si>
  <si>
    <t>התניה ״לכאורה״:</t>
  </si>
  <si>
    <t>מדוע התניה ״לכאורה״? כי בנסח הקיים, התורם לא הגביל את יכולת המלכ״ר למכור את הנכס בכל שלב,</t>
  </si>
  <si>
    <t>ולהשתמש בכספי התמורה מהמכירה כרצונו.</t>
  </si>
  <si>
    <t>אם הועברו נכסים למלכ״ר, ותמורת המכירה של הנכסים לא הוגבלה (לא ברמת הזמן ולא ברמת מה</t>
  </si>
  <si>
    <t xml:space="preserve">עושים עם כספי התרומה) - יש להכיר בהכנסה באופן מיידי. </t>
  </si>
  <si>
    <t>על הפעילויות (מקרה 1 בדיון לעיל - תרומת נכס &gt;&gt;&gt; שתמורת מכירתו איננה מוגבלת באופן כלשהו).</t>
  </si>
  <si>
    <t xml:space="preserve">במהלך תקופה זו, אסור למלכ״ר למכור את המבנה ו/או להחליפו בנכס אחר. </t>
  </si>
  <si>
    <r>
      <t xml:space="preserve">הועבר נכס &gt;&gt;&gt; קיימת מגבלה לשימוש </t>
    </r>
    <r>
      <rPr>
        <u/>
        <sz val="12"/>
        <color theme="1"/>
        <rFont val="David"/>
      </rPr>
      <t>לתקופה מוגבלת</t>
    </r>
    <r>
      <rPr>
        <sz val="12"/>
        <color theme="1"/>
        <rFont val="David"/>
      </rPr>
      <t xml:space="preserve">. </t>
    </r>
  </si>
  <si>
    <r>
      <t xml:space="preserve">במצב כזה, קובע התקן (תקן 40) </t>
    </r>
    <r>
      <rPr>
        <u/>
        <sz val="12"/>
        <color theme="1"/>
        <rFont val="David"/>
      </rPr>
      <t>שיש להכיר בנכס</t>
    </r>
    <r>
      <rPr>
        <sz val="12"/>
        <color theme="1"/>
        <rFont val="David"/>
      </rPr>
      <t xml:space="preserve"> במקביל </t>
    </r>
    <r>
      <rPr>
        <u/>
        <sz val="12"/>
        <color theme="1"/>
        <rFont val="David"/>
      </rPr>
      <t>לנכסים נטו מוגבלים</t>
    </r>
    <r>
      <rPr>
        <sz val="12"/>
        <color theme="1"/>
        <rFont val="David"/>
      </rPr>
      <t>.</t>
    </r>
  </si>
  <si>
    <t>כאן, סיפרו לי על מבנה ששוויו 2,000,000 ש״ח, שאורך חייו השימושיים 20 שנה, אבל</t>
  </si>
  <si>
    <t>התורם הגביל את השימוש בנכס ואת היכולת למכרו למשך 5 שנים בלבד .</t>
  </si>
  <si>
    <t>לכן, יש לפרוס את ההכרה בהכנסה שסכומה הכולל 2,000,000 על פני 5 שנים אלו:</t>
  </si>
  <si>
    <t>אם הכרנו בהכנסות משחרור מהגבלה אז זה נזקף לנ״נ לא מוגבלת</t>
  </si>
  <si>
    <t>אבל בתכל׳ס, הזכאות כאן היא לרכוש קבוע - נמיין לנ״נ לר״ק</t>
  </si>
  <si>
    <t>נתון - רכוש קבוע שעלותו 2,000,000 מופחת על פני 20 שנה (אורך חיים שימושיים):</t>
  </si>
  <si>
    <t xml:space="preserve"> בשנת 2022 המלכ״ר השקיע 800,000 ש״ח בהקמת המבנה, ובשנת 2023 הושקעו 1,500,000 ש״ח נוספים.  </t>
  </si>
  <si>
    <t>קיימת מגבלה ברורה לגבי אופן השימוש במשאבים</t>
  </si>
  <si>
    <t>הכוונה היא - אין אפשרות להשתמש בכסף אלא למטרה שהוגדרה</t>
  </si>
  <si>
    <t>יתרת המזומן המיועדת: 2,000,000 טוטאל בניכוי 800,000 שנוצלו ב-2022</t>
  </si>
  <si>
    <t>המלכ״ר השלים ממקורות המזומן ה״כלליים״ את התשלום הנוסף</t>
  </si>
  <si>
    <t>מחוייב כלפינו, כתורם למספר תקופות השימוש שהגדיר) ומנגד נכיר בנ״נ שקיימת לגביהם הגבלה.</t>
  </si>
  <si>
    <t>שיעור ההיוון / הריבית</t>
  </si>
  <si>
    <t>מספר תקופות ההטבה</t>
  </si>
  <si>
    <t>שווי ההטבה לתקופה</t>
  </si>
  <si>
    <t>תזרים / הטבה חד פעמית בסיום העסקה</t>
  </si>
  <si>
    <t>שווי ההטבה היום - ערך נוכחי</t>
  </si>
  <si>
    <t>למי שאיננו מחובבי הז׳אנר של כתיבה ישירה של נוסחאות</t>
  </si>
  <si>
    <t>אקסל, להלן מבנה מוצע לכתיבת הערכים ברצף שיאפשרו</t>
  </si>
  <si>
    <t>את חישוב ה-PV בגישת ״קליק פסיק״.</t>
  </si>
  <si>
    <t>בהתאם להגדרת התקן, יש להכיר בנכס חייבים בגין הטבה המגלמת זכות שימוש לתקופה</t>
  </si>
  <si>
    <t>ממושכת, יש לבצע את המדידה בהתאם לערך הנוכחי PV של ההטבות הצפויות, כלומר של דמי השכירות השקולים.</t>
  </si>
  <si>
    <t>מה עשיתי פה? כשחישבנו PV למתן ביטוי</t>
  </si>
  <si>
    <t>לשווי העסקה בערך נוכחי במועד ביצועה,</t>
  </si>
  <si>
    <t>קיבלנו 115,826 ש״ח.</t>
  </si>
  <si>
    <t>כעת ״התקדמנו תקופה אחת״ קדימה, והתקרבנו</t>
  </si>
  <si>
    <t>להטבה הקרובה.</t>
  </si>
  <si>
    <t>כדי לבטא את זה בנוסחה, כל מה שעשינו היה:</t>
  </si>
  <si>
    <t>להוסיף 1 להגדרות (תזרימי תחילת תקופה)</t>
  </si>
  <si>
    <t>קודם כל, התייחסתי לחלוף הזמן: הואיל ושווי ההטבה נרשם בערך נוכחי, חלוף זמן מתבטא במדידה מחדש של נכס החייבים בגין הריבית הרלוונטית לשנה.</t>
  </si>
  <si>
    <t>ההכרה בעלייה בנכס החייבים היא בתור התחלה כנגד ננ״ה מוגבלת.</t>
  </si>
  <si>
    <t>שלב 1:</t>
  </si>
  <si>
    <t>שלב 2:</t>
  </si>
  <si>
    <t xml:space="preserve">הכרנו בהוצאות השכירות לפי שווי דמי שכירות לשנה - כנגד קיטון בחוב התורם כלפינו (מימש חלק מהבטחתו). </t>
  </si>
  <si>
    <t>שלב 3:</t>
  </si>
  <si>
    <t>בהתאם להנחיות IFRS 16, נכס זכות השימוש מייצג עקרונית את העובדה שלאור ההתחייבות שלנו</t>
  </si>
  <si>
    <t xml:space="preserve">למעשה נוצר לנו נכס לא שוטף, ארוך טווח, שנוכל להשתמש בו תקופה ארוכה (10 שנים). </t>
  </si>
  <si>
    <t>לא מדובר ברכישה של הנכס עצמו; אבל קבלת ההטבות ממנו תקופה ארוכה מובילה להכרה</t>
  </si>
  <si>
    <t>בזכות השימושים ארוכת הטווח כנכס נפרד שנקרא ״נכס זכות שימוש״.</t>
  </si>
  <si>
    <t xml:space="preserve">בהתאם לתנאי ההסכם, העמותה תקבל זכות שימוש במבנה: לתקופה של 10 שנים, תמורת 12,000 ש"ח לשנה. </t>
  </si>
  <si>
    <t>שיעור ההיוון 5%.</t>
  </si>
  <si>
    <t xml:space="preserve">תשלומי השכירות המקובלים בשוק הינם 18,000 ש"ח לשנה. </t>
  </si>
  <si>
    <t>תזכורת לגבי הנתונים:</t>
  </si>
  <si>
    <t>שיעור ההיוון הנתון בשאלה</t>
  </si>
  <si>
    <t>מספר תקופות ההסדר</t>
  </si>
  <si>
    <t>תשלום תקופתי שנבצע</t>
  </si>
  <si>
    <t>תזרים חד פעמי בסיום העסקה (כאן - אין)</t>
  </si>
  <si>
    <t>מתן ביטוי למחויבות</t>
  </si>
  <si>
    <t xml:space="preserve">החברה </t>
  </si>
  <si>
    <t>לשלם 12,000</t>
  </si>
  <si>
    <t>כל שנה 10 שנים</t>
  </si>
  <si>
    <t>בלי קשר כרגע להטבה</t>
  </si>
  <si>
    <t>ערך נוכחי: שווי הנכס וההתחייבות</t>
  </si>
  <si>
    <t>המדידה לעיל התעלמה לחלוטין מהעובדה ששווי השכירות השנתית איננו 12,000 אלא 18,000 בתנאי השוק.</t>
  </si>
  <si>
    <t>לכן, מעבר למדידה הבסיסית לעיל - החברה למעשה זכאית ל״הטבה״ בגובה הערך הנוכחי של סדרת ״ההנחות״ בדמי השכירות: 6,000 = 12,000 - 18,000</t>
  </si>
  <si>
    <t>שווי ההטבה</t>
  </si>
  <si>
    <t>המגולמת בהנחה</t>
  </si>
  <si>
    <t>ביחס למחיר השוק</t>
  </si>
  <si>
    <t>של 6,000 לשנה</t>
  </si>
  <si>
    <t>במשך 10 שנים</t>
  </si>
  <si>
    <t>הטבה תקופתית שתתקבל</t>
  </si>
  <si>
    <t>בחלוף שנה, מתקרבים להטבה, ומשקפים</t>
  </si>
  <si>
    <t>את שינוי הערך באמצעות הריבית לתקופה אחת</t>
  </si>
  <si>
    <t>בעצם, שווי ההטבה המקורי:</t>
  </si>
  <si>
    <t>התקדמות בזמן - ריבית:</t>
  </si>
  <si>
    <t>יתרת סגירה 31/12/2023:</t>
  </si>
  <si>
    <t>type</t>
  </si>
  <si>
    <t>הראשונה</t>
  </si>
  <si>
    <t xml:space="preserve">    שווי ההטבה רגע לפני ניצול השנה</t>
  </si>
  <si>
    <t>שלב 2: הכרה בניצול ההטבה בגין ״דמי שכירות״ מופחתים - במקביל: גם כהוצאה וגם כהקטנת נכס חייבים</t>
  </si>
  <si>
    <t>נכס זכות שימוש מקורי שחושב לפי PV</t>
  </si>
  <si>
    <t xml:space="preserve">דמי חכירה מופחת על 10 שנים - משך השימוש </t>
  </si>
  <si>
    <t>סוגיות מדידה א - הרצאה 9  - מלכר״ים - לסיום סיומת</t>
  </si>
  <si>
    <t>שינויים אקטוארים: באורך חיי התורם</t>
  </si>
  <si>
    <t>ובשיעור ההיוון</t>
  </si>
  <si>
    <t>חלוקה לפקודות משנה כדי שיהיה נוח יותר להבין (איך בכך צורך):</t>
  </si>
  <si>
    <t>ז׳ נ״נ ששימשו לר״ק</t>
  </si>
  <si>
    <t>גב׳ שפרה האהובה, התורמת, הנדיבה - אחת שהיתה שם בשביל כולנו, נפטרה בשיבה טובה והשאירה</t>
  </si>
  <si>
    <t>אין בעיה לרשום גם ח׳ פקדון (תלוי אם הסכום נכנס לפקדון או לעו״ש)</t>
  </si>
  <si>
    <t>פתרון נדרש ב - אינפלציה 4.5%</t>
  </si>
  <si>
    <t>חושב לעיל, במועד התרומה</t>
  </si>
  <si>
    <r>
      <t xml:space="preserve">הוצ׳ מימון </t>
    </r>
    <r>
      <rPr>
        <b/>
        <sz val="12"/>
        <rFont val="David"/>
      </rPr>
      <t>PN</t>
    </r>
  </si>
  <si>
    <r>
      <t xml:space="preserve">התאמה (עלייה) בהתחייבות בגין אנונה </t>
    </r>
    <r>
      <rPr>
        <b/>
        <sz val="12"/>
        <rFont val="David"/>
      </rPr>
      <t>PN</t>
    </r>
  </si>
  <si>
    <t>סך התשלומים שבוצעו לאורך השנה כולה: 12,000 + 18,000 = 30,000 או 10 * 3,000 = 30,000</t>
  </si>
  <si>
    <t>סך הוצאות המימון הן סיכום הערכים בגין הוצ׳ מימון בטבלת התנועות: 2,072 = 1,426 + 647</t>
  </si>
  <si>
    <t>ההפסד מהתאמת האנונה זו ההשפעה של העלייה בהתחייבות הנובעת</t>
  </si>
  <si>
    <t>מאומדן מחודש (עלייה באורך חיי התורם)</t>
  </si>
  <si>
    <t xml:space="preserve">מדובר בשירות שהתקבל בקרב המלכ״ר ״חינם״ וללא מגבלה כלשהי הנלווית לכך. </t>
  </si>
  <si>
    <t>לפיכך, מדובר בהכנסות מתרומה.</t>
  </si>
  <si>
    <t xml:space="preserve">מצד שני, הואיל ומדובר בתרומת שירותים, יש להכיר במקביל בהוצאה בסכום זהה. </t>
  </si>
  <si>
    <t>ח׳ הוצאות בגין הרצאות וסדנאות</t>
  </si>
  <si>
    <t>ז׳ הכנסות מתרומת שירותים</t>
  </si>
  <si>
    <t>ח׳ מחשבים (רכוש קבוע)</t>
  </si>
  <si>
    <t xml:space="preserve">ז׳ מזומן </t>
  </si>
  <si>
    <t xml:space="preserve">שלב 2: </t>
  </si>
  <si>
    <t>הואיל והמלכ״ר מפריד בין ננ״ה - שלא יועדה, שיועדדה, ששימשה לר״ק, נדרשת פעולת מיון נוספת:</t>
  </si>
  <si>
    <t>ח׳ נ״נה לא מוגבלת שלא יועדה</t>
  </si>
  <si>
    <t>ז׳ ננ״ה לא מוגבלת ששימשה לר״ק</t>
  </si>
  <si>
    <t>ז׳ פחנ״צ מחשבים</t>
  </si>
  <si>
    <t>ח׳ ננ״ה לא מוגבלת ששימשה לר״ק</t>
  </si>
  <si>
    <t>ז׳ ננ״ה לא מוגבלת שלא יועדה</t>
  </si>
  <si>
    <t>פקודת</t>
  </si>
  <si>
    <t>פחת</t>
  </si>
  <si>
    <t>כיסוי</t>
  </si>
  <si>
    <t>ירוק - לשינויים בנכסים נטו</t>
  </si>
  <si>
    <t>מס׳ מחשבים:</t>
  </si>
  <si>
    <t>עלות כוללת לכולם:</t>
  </si>
  <si>
    <t>תקופת הפחת בשנים:</t>
  </si>
  <si>
    <t>1.5.2016</t>
  </si>
  <si>
    <t xml:space="preserve">תאריך רכישה: </t>
  </si>
  <si>
    <t>עלות מופחתת מחשבים שנמכרו:</t>
  </si>
  <si>
    <t xml:space="preserve">60,000 / 10 * 6 = </t>
  </si>
  <si>
    <t xml:space="preserve">36,000 / 3 * (4/12) = </t>
  </si>
  <si>
    <t>הפסד הון</t>
  </si>
  <si>
    <t>לעיל</t>
  </si>
  <si>
    <t>ז׳ מחשבים (עלות)</t>
  </si>
  <si>
    <t>ח׳ מחשבים (פחת נצבר)</t>
  </si>
  <si>
    <t>ח׳ הפסד הון</t>
  </si>
  <si>
    <t>פקודת מכר:</t>
  </si>
  <si>
    <t>פחת לשנה הנוכחית פריטים שנמכרו</t>
  </si>
  <si>
    <t xml:space="preserve">36,000 / 3 * (4/12) + 24,000 / 3 * (8/12) = </t>
  </si>
  <si>
    <t xml:space="preserve">פחת לשנה הנוכחית </t>
  </si>
  <si>
    <t>פריטים שלא נמכרו</t>
  </si>
  <si>
    <t>בנוסף: הואיל ובעקבות המכירה חלה ירידה ברכוש הקבוע נטו בסכום של 32,000 ש״ח, עלינו למיין 32,000 ש״ח</t>
  </si>
  <si>
    <t>מסעיף ננ״ה ששימשה לר״ק - לננ״ה לא מוגבלת שלא יועדה:</t>
  </si>
  <si>
    <t>ז׳ ננ״ה מוגבל</t>
  </si>
  <si>
    <t>עד למועד זה, חלפו 3 חודשים, כלומר המלכ״ר צבר זכות להשתמש בחלק יחסי של 3/12</t>
  </si>
  <si>
    <t>מכספי התרומה</t>
  </si>
  <si>
    <t>ח׳ ננ״ה מוגבל</t>
  </si>
  <si>
    <t>ז׳ הכנסות שחרור</t>
  </si>
  <si>
    <t>סוגיות מדידה א - הרצאה 10  - היוון עלויות אשראי</t>
  </si>
  <si>
    <t>מיני רציו - היוון עלויות אשראי</t>
  </si>
  <si>
    <t>כאשר מייצרים / בונים נכסים - כגון חברה שבונה מפעל, או מבנה, או מתקן - ישנן עלויות מגוונות שנזקפות לנכס</t>
  </si>
  <si>
    <t>פריט זה ואינן מהוות הוצאה.</t>
  </si>
  <si>
    <t xml:space="preserve">כך למשל, IAS 16 קובע שעלות פריט רכוש קבוע תכלול את כל העלויות החיוניות להבאתו למיקום ולמצב שמיש - </t>
  </si>
  <si>
    <t xml:space="preserve">כך שמוסיפים לעלות הרכוש הקבוע גם עלויות נוספות שלכאורה מהוות הוצאה (הובלה, התקנה וכיו״ב). </t>
  </si>
  <si>
    <t>היוון עלויות = הקצאת / הוספת עלויות מסוימות לנכסים ולא להוצאות:</t>
  </si>
  <si>
    <t>התקן הנוכחי - IAS 23 - בנושא היוון עלויות אשראי בעצם טוען טענה פשוטה: מעבר לכל העלויות שצריכות להיווצר</t>
  </si>
  <si>
    <t>בתהליך יצירת נכס, נדרש גם לממן את עלויות יצירתו. ואם עלויות המימון הללו הן חלק בלתי נפרד מהעלויות הנדרשות</t>
  </si>
  <si>
    <t xml:space="preserve">הבאת הפריט למיקום ולמצב שמיש - אזי יש לייחס גם עלויות מימון אלו לנכס. </t>
  </si>
  <si>
    <t>בקיצור נמרץ: אם מייצרים נכס לאורך זמן (״נכס כשיר״) ולכן צריך לשאת בעלויות המימון להקמתו ויצירתו</t>
  </si>
  <si>
    <t>לאורך זמן - ישנם מבחנים שבכפוף להם - נקצה את עלויות המימון לנכס עצמו (כך שלא תוכרנה כהוצאה בדוח</t>
  </si>
  <si>
    <t xml:space="preserve">רווח והפסד). </t>
  </si>
  <si>
    <t>התפלגות העלויות שנוצרו לשם ההקמה בשנת 2021 היא כדלקמן:</t>
  </si>
  <si>
    <t>בנתוני השאלה נרשם, שחישוב הריבית</t>
  </si>
  <si>
    <t>הוא כריבית פשוטה / לינארי:</t>
  </si>
  <si>
    <t>5,400,000 * 3% * 3/12 = 40,500</t>
  </si>
  <si>
    <t>אילו הריבית היתה מחושבת כריבית אפקטיבית:</t>
  </si>
  <si>
    <t>5,400,000 * [(1 + 3%)^(3/12) - 1] = 40,052.19</t>
  </si>
  <si>
    <t>נתבסס על:</t>
  </si>
  <si>
    <t>סך עלויות המימון בגין ההלוואה</t>
  </si>
  <si>
    <t>בניכוי:</t>
  </si>
  <si>
    <t>בגין הפקדון</t>
  </si>
  <si>
    <t>שווה ל:</t>
  </si>
  <si>
    <t>עלויות מימון, נטו</t>
  </si>
  <si>
    <t>עלויות אלו אינן הוצאה אלא תיזקפנה (יהוונו) לעלות הנכס הכשיר</t>
  </si>
  <si>
    <t xml:space="preserve">6,000,000 * 6% * 9/12 = </t>
  </si>
  <si>
    <t>אם חל מקרה (וזה מאד חריג) שבו הכנסות המימון מהשקעת הביניים גבוהות מעלויות המימון,</t>
  </si>
  <si>
    <t>לא נתייחס אליהן כניכוי מעלות הנכס.</t>
  </si>
  <si>
    <t xml:space="preserve">בשפה פשוטה: אי אפשר להוון עלויות מימון שליליות. </t>
  </si>
  <si>
    <t>להלן אשראי כללי של (חברה) במהלך שנת 2021. לא נפרע אשראי (לא נפרעו / סולקו / הוחזרו הלוואות) כלל במהלך השנה.</t>
  </si>
  <si>
    <t>סכום אשראי</t>
  </si>
  <si>
    <t>שימו לב: המטרה הלימודית של שאלה זו איננה לסייע</t>
  </si>
  <si>
    <t>בהיוון עלויות אשראי לא ספציפי;</t>
  </si>
  <si>
    <t>אלא לעזור לנו להבין - מה בכלל הריבית (המשוקללת...)</t>
  </si>
  <si>
    <t>בגין אשראים לא ספציפיים? חייבים לדעת אותה</t>
  </si>
  <si>
    <t>לפני שניגשים לתהליך הייחוס של אשראי לא ספציפי.</t>
  </si>
  <si>
    <t>ג. הסכום הכולל של הערכים המשוקללים הוא למעשה סכום האשראי  ששירת את היציאות לשם הקמת</t>
  </si>
  <si>
    <t>ה. את הסכום התיאורטי להיוון נשווה לתקרת ההיוון - הסכום הכולל של עלויות האשראי .</t>
  </si>
  <si>
    <t xml:space="preserve">שלב 1: חישוב העלויות המשוקללות ששולמו בפועל (יציאות) בגין הנכס בתקופה. </t>
  </si>
  <si>
    <t>תכל׳ס: כל תשלום, משוקלל בפרק הזמן מביצועו לתום שנה (בהתחשבות במענקים).</t>
  </si>
  <si>
    <r>
      <t>שולם ב-</t>
    </r>
    <r>
      <rPr>
        <b/>
        <sz val="12"/>
        <rFont val="David"/>
      </rPr>
      <t>1.2</t>
    </r>
    <r>
      <rPr>
        <sz val="12"/>
        <rFont val="David"/>
      </rPr>
      <t>.2021</t>
    </r>
  </si>
  <si>
    <t>שאלה 4 - היוון עלויות אשראי - ספציפי ולא ספציפי</t>
  </si>
  <si>
    <t>ביום 1.1.2022 החלה חברה בהקמת מכונה לחימום נקניק. תהליך הקמת המכונה הוא מתמשך. להלן עלויות ההקמה:</t>
  </si>
  <si>
    <t>מיני פתרון:</t>
  </si>
  <si>
    <t>נתחיל מהמפלצת - אשראי כללי / לא ספציפי. בתור התחלה, אנו זקוקים ליחס בין סך עלויות המימון בגין אשראי</t>
  </si>
  <si>
    <t xml:space="preserve">לא ספציפי, לבין סך ההלוואות הלא ספציפיות (משוקלל). </t>
  </si>
  <si>
    <t>הלוואה ב1</t>
  </si>
  <si>
    <t>הלוואה ב2</t>
  </si>
  <si>
    <t>יתרת 
הלוואה
משוקללת</t>
  </si>
  <si>
    <t>עלויות 
מימון</t>
  </si>
  <si>
    <t>שיעור היוון אשראי ל״ס:</t>
  </si>
  <si>
    <t>יציאה
משוקללת</t>
  </si>
  <si>
    <t>תאריך
תשלום</t>
  </si>
  <si>
    <t>עלות אשראי לא ספציפי תיאורטית להיוון:</t>
  </si>
  <si>
    <t xml:space="preserve">7.47% * 75,000 = </t>
  </si>
  <si>
    <t>בדיקת התקרה - סך ע. מימון לא ספציפיות:</t>
  </si>
  <si>
    <t>הערך שיהוון לנכס בגין לא ספציפי - הנמוך:</t>
  </si>
  <si>
    <t>כעת, נפעל לחישוב סך עלויות האשראי להיוון ויתרת הנכס:</t>
  </si>
  <si>
    <t>עלויות אשראי ספציפי להיוון - נתון:</t>
  </si>
  <si>
    <t>עלות אשראי לא ספציפי להיוון - חושב:</t>
  </si>
  <si>
    <t>סך עלויות אשראי להיוון לנכס ב-2022:</t>
  </si>
  <si>
    <t>התשובה</t>
  </si>
  <si>
    <t>סך עלויות הנכס (יתרת הנכס) ליום 31.12.2022 כולל עלויות אשראי שהוונו:</t>
  </si>
  <si>
    <t>סך היציאות בגין הנכס</t>
  </si>
  <si>
    <t>עלויות אשראי שהוונו</t>
  </si>
  <si>
    <t>סך עלות הנכס</t>
  </si>
  <si>
    <t>פתרון מורחב - למי שרוצה קצת מלל או דרך נלווית כתובה מפורטת על התחשיבים לעיל:</t>
  </si>
  <si>
    <t>פתרון מקוצר:</t>
  </si>
  <si>
    <t>הוצאות מימון בפועל - הלוואה דולרית:</t>
  </si>
  <si>
    <t>יתרת פתיחה</t>
  </si>
  <si>
    <t>תשלום ריבית</t>
  </si>
  <si>
    <t>יתרה לדיווח</t>
  </si>
  <si>
    <t>הוצ׳ מימון PN</t>
  </si>
  <si>
    <t>הוצאות מימון ״אלטרנטיביות״ - אילו המימון היה שקלי:</t>
  </si>
  <si>
    <t xml:space="preserve">200,000 * 8% = </t>
  </si>
  <si>
    <t xml:space="preserve">התקן קובע כי עלויות המימון שניתן להוון לנכס הכשיר הן הנמוך מבין עלויות מימון שקליות, לעלויות מימון בפועל בחלופה המט״חית. </t>
  </si>
  <si>
    <t>הוצ׳ מימון מט״חי</t>
  </si>
  <si>
    <t>הוצ׳ מימון שקל״חי</t>
  </si>
  <si>
    <t>הנמוך מבין השניים - יצטרף לעלות הנכס (יהוון לנכס)</t>
  </si>
  <si>
    <t>עלויות המימון שמעבר לרכיב המהוון = כהוצאה ברוו״ה</t>
  </si>
  <si>
    <t xml:space="preserve">25,750 - 16,000 = </t>
  </si>
  <si>
    <t>פתרון ארוך יותר - לחובבי המלל, החפירות, הקדיחות:</t>
  </si>
  <si>
    <t>שיעור הריבית המגולם בחכירה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</si>
</sst>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1" formatCode="_(* #,##0_);_(* \(#,##0\);_(* &quot;-&quot;_);_(@_)"/>
    <numFmt numFmtId="43" formatCode="_(* #,##0.00_);_(* \(#,##0.00\);_(* &quot;-&quot;??_);_(@_)"/>
    <numFmt numFmtId="164" formatCode="#,##0.0_);\(#,##0.0\)"/>
    <numFmt numFmtId="165" formatCode="0.000%"/>
    <numFmt numFmtId="166" formatCode="0.0%"/>
  </numFmts>
  <fonts count="47" x14ac:knownFonts="1">
    <font>
      <sz val="12"/>
      <color theme="1"/>
      <name val="Calibri"/>
      <family val="2"/>
      <scheme val="minor"/>
    </font>
    <font>
      <sz val="12"/>
      <color theme="1"/>
      <name val="David"/>
    </font>
    <font>
      <b/>
      <sz val="12"/>
      <color theme="1"/>
      <name val="David"/>
    </font>
    <font>
      <sz val="12"/>
      <color theme="0"/>
      <name val="David"/>
    </font>
    <font>
      <sz val="12"/>
      <color theme="7" tint="0.59999389629810485"/>
      <name val="David"/>
    </font>
    <font>
      <sz val="12"/>
      <name val="David"/>
    </font>
    <font>
      <b/>
      <u/>
      <sz val="12"/>
      <color theme="1"/>
      <name val="David"/>
    </font>
    <font>
      <sz val="12"/>
      <color theme="1"/>
      <name val="Calibri"/>
      <family val="2"/>
      <scheme val="minor"/>
    </font>
    <font>
      <b/>
      <sz val="12"/>
      <color rgb="FFFF0000"/>
      <name val="David"/>
    </font>
    <font>
      <sz val="12"/>
      <color rgb="FF000000"/>
      <name val="David"/>
    </font>
    <font>
      <u/>
      <sz val="12"/>
      <color theme="1"/>
      <name val="David"/>
    </font>
    <font>
      <sz val="11"/>
      <color theme="1"/>
      <name val="David"/>
    </font>
    <font>
      <b/>
      <sz val="12"/>
      <color theme="1"/>
      <name val="Calibri"/>
      <family val="2"/>
      <scheme val="minor"/>
    </font>
    <font>
      <u/>
      <sz val="12"/>
      <color rgb="FFFF0000"/>
      <name val="David"/>
    </font>
    <font>
      <sz val="12"/>
      <color rgb="FFFF0000"/>
      <name val="David"/>
    </font>
    <font>
      <u/>
      <sz val="12"/>
      <name val="David"/>
    </font>
    <font>
      <sz val="12"/>
      <color rgb="FF00B050"/>
      <name val="David"/>
    </font>
    <font>
      <sz val="18"/>
      <color theme="3"/>
      <name val="Calibri Light"/>
      <family val="2"/>
      <scheme val="major"/>
    </font>
    <font>
      <b/>
      <sz val="11"/>
      <color theme="1"/>
      <name val="David"/>
    </font>
    <font>
      <u/>
      <sz val="11"/>
      <color theme="1"/>
      <name val="David"/>
    </font>
    <font>
      <u val="singleAccounting"/>
      <sz val="11"/>
      <color theme="1"/>
      <name val="David"/>
    </font>
    <font>
      <sz val="12"/>
      <color theme="3"/>
      <name val="David"/>
    </font>
    <font>
      <u val="singleAccounting"/>
      <sz val="12"/>
      <color theme="1"/>
      <name val="David"/>
    </font>
    <font>
      <b/>
      <u/>
      <sz val="11"/>
      <color theme="1"/>
      <name val="David"/>
    </font>
    <font>
      <b/>
      <sz val="12"/>
      <color theme="3"/>
      <name val="David"/>
    </font>
    <font>
      <sz val="9"/>
      <color theme="1"/>
      <name val="David"/>
    </font>
    <font>
      <strike/>
      <sz val="12"/>
      <color theme="1"/>
      <name val="David"/>
    </font>
    <font>
      <b/>
      <sz val="12"/>
      <color theme="8" tint="-0.249977111117893"/>
      <name val="David"/>
    </font>
    <font>
      <sz val="12"/>
      <color rgb="FFFFFF00"/>
      <name val="David"/>
    </font>
    <font>
      <b/>
      <sz val="12"/>
      <color rgb="FF0070C0"/>
      <name val="David"/>
    </font>
    <font>
      <b/>
      <u/>
      <sz val="12"/>
      <color rgb="FF0070C0"/>
      <name val="David"/>
    </font>
    <font>
      <sz val="12"/>
      <name val="Calibri"/>
      <family val="2"/>
      <scheme val="minor"/>
    </font>
    <font>
      <sz val="11"/>
      <color theme="1"/>
      <name val="Calibri"/>
      <family val="2"/>
      <scheme val="minor"/>
    </font>
    <font>
      <b/>
      <sz val="12"/>
      <name val="David"/>
    </font>
    <font>
      <b/>
      <sz val="12"/>
      <color theme="0"/>
      <name val="David"/>
    </font>
    <font>
      <b/>
      <u/>
      <sz val="12"/>
      <name val="David"/>
    </font>
    <font>
      <sz val="8"/>
      <name val="David"/>
    </font>
    <font>
      <b/>
      <sz val="8"/>
      <name val="David"/>
    </font>
    <font>
      <sz val="11"/>
      <name val="David"/>
    </font>
    <font>
      <sz val="10"/>
      <name val="David"/>
    </font>
    <font>
      <b/>
      <sz val="20"/>
      <color theme="1"/>
      <name val="David"/>
    </font>
    <font>
      <b/>
      <sz val="12"/>
      <name val="Calibri"/>
      <family val="2"/>
      <scheme val="minor"/>
    </font>
    <font>
      <sz val="10"/>
      <color theme="1"/>
      <name val="David"/>
    </font>
    <font>
      <sz val="12"/>
      <color rgb="FF0070C0"/>
      <name val="David"/>
    </font>
    <font>
      <sz val="11"/>
      <color rgb="FF000000"/>
      <name val="David"/>
    </font>
    <font>
      <b/>
      <sz val="9"/>
      <color theme="1"/>
      <name val="David"/>
    </font>
    <font>
      <b/>
      <i/>
      <sz val="12"/>
      <color theme="1"/>
      <name val="David"/>
    </font>
  </fonts>
  <fills count="24">
    <fill>
      <patternFill patternType="none"/>
    </fill>
    <fill>
      <patternFill patternType="gray125"/>
    </fill>
    <fill>
      <patternFill patternType="solid">
        <fgColor theme="2" tint="-9.9978637043366805E-2"/>
        <bgColor indexed="64"/>
      </patternFill>
    </fill>
    <fill>
      <patternFill patternType="solid">
        <fgColor rgb="FFFFFF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6" tint="0.79998168889431442"/>
        <bgColor indexed="64"/>
      </patternFill>
    </fill>
    <fill>
      <patternFill patternType="solid">
        <fgColor theme="2"/>
        <bgColor indexed="64"/>
      </patternFill>
    </fill>
    <fill>
      <patternFill patternType="solid">
        <fgColor theme="5" tint="0.79998168889431442"/>
        <bgColor indexed="64"/>
      </patternFill>
    </fill>
    <fill>
      <patternFill patternType="solid">
        <fgColor rgb="FF92D050"/>
        <bgColor indexed="64"/>
      </patternFill>
    </fill>
    <fill>
      <patternFill patternType="solid">
        <fgColor rgb="FF00FF00"/>
        <bgColor indexed="64"/>
      </patternFill>
    </fill>
    <fill>
      <patternFill patternType="solid">
        <fgColor theme="4" tint="0.59999389629810485"/>
        <bgColor indexed="64"/>
      </patternFill>
    </fill>
    <fill>
      <patternFill patternType="solid">
        <fgColor rgb="FFFF8AD8"/>
        <bgColor indexed="64"/>
      </patternFill>
    </fill>
    <fill>
      <patternFill patternType="solid">
        <fgColor rgb="FFFFC000"/>
        <bgColor indexed="64"/>
      </patternFill>
    </fill>
    <fill>
      <patternFill patternType="solid">
        <fgColor rgb="FF73FEFF"/>
        <bgColor indexed="64"/>
      </patternFill>
    </fill>
    <fill>
      <patternFill patternType="solid">
        <fgColor theme="0"/>
        <bgColor indexed="64"/>
      </patternFill>
    </fill>
    <fill>
      <patternFill patternType="solid">
        <fgColor theme="8" tint="0.59999389629810485"/>
        <bgColor indexed="64"/>
      </patternFill>
    </fill>
    <fill>
      <patternFill patternType="solid">
        <fgColor theme="4"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theme="1"/>
        <bgColor indexed="64"/>
      </patternFill>
    </fill>
    <fill>
      <patternFill patternType="solid">
        <fgColor rgb="FF00FA00"/>
        <bgColor indexed="64"/>
      </patternFill>
    </fill>
  </fills>
  <borders count="43">
    <border>
      <left/>
      <right/>
      <top/>
      <bottom/>
      <diagonal/>
    </border>
    <border>
      <left/>
      <right/>
      <top/>
      <bottom style="thin">
        <color indexed="64"/>
      </bottom>
      <diagonal/>
    </border>
    <border>
      <left/>
      <right/>
      <top style="thin">
        <color auto="1"/>
      </top>
      <bottom style="dashed">
        <color auto="1"/>
      </bottom>
      <diagonal/>
    </border>
    <border>
      <left/>
      <right/>
      <top style="thin">
        <color auto="1"/>
      </top>
      <bottom style="dashDot">
        <color auto="1"/>
      </bottom>
      <diagonal/>
    </border>
    <border>
      <left/>
      <right/>
      <top style="thin">
        <color indexed="64"/>
      </top>
      <bottom/>
      <diagonal/>
    </border>
    <border>
      <left/>
      <right/>
      <top style="dashed">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style="thin">
        <color indexed="64"/>
      </bottom>
      <diagonal/>
    </border>
    <border>
      <left/>
      <right style="medium">
        <color indexed="64"/>
      </right>
      <top style="thin">
        <color indexed="64"/>
      </top>
      <bottom/>
      <diagonal/>
    </border>
    <border>
      <left/>
      <right style="medium">
        <color indexed="64"/>
      </right>
      <top style="thin">
        <color auto="1"/>
      </top>
      <bottom style="dashed">
        <color auto="1"/>
      </bottom>
      <diagonal/>
    </border>
    <border>
      <left/>
      <right style="medium">
        <color indexed="64"/>
      </right>
      <top style="dashed">
        <color auto="1"/>
      </top>
      <bottom style="thin">
        <color auto="1"/>
      </bottom>
      <diagonal/>
    </border>
    <border>
      <left style="medium">
        <color indexed="64"/>
      </left>
      <right/>
      <top/>
      <bottom style="medium">
        <color indexed="64"/>
      </bottom>
      <diagonal/>
    </border>
    <border>
      <left/>
      <right/>
      <top/>
      <bottom style="medium">
        <color indexed="64"/>
      </bottom>
      <diagonal/>
    </border>
    <border>
      <left/>
      <right/>
      <top style="thin">
        <color auto="1"/>
      </top>
      <bottom style="medium">
        <color indexed="64"/>
      </bottom>
      <diagonal/>
    </border>
    <border>
      <left/>
      <right style="medium">
        <color indexed="64"/>
      </right>
      <top style="thin">
        <color auto="1"/>
      </top>
      <bottom style="medium">
        <color indexed="64"/>
      </bottom>
      <diagonal/>
    </border>
    <border>
      <left/>
      <right style="medium">
        <color indexed="64"/>
      </right>
      <top/>
      <bottom/>
      <diagonal/>
    </border>
    <border>
      <left/>
      <right style="medium">
        <color indexed="64"/>
      </right>
      <top/>
      <bottom style="medium">
        <color indexed="64"/>
      </bottom>
      <diagonal/>
    </border>
    <border>
      <left/>
      <right style="thick">
        <color auto="1"/>
      </right>
      <top/>
      <bottom/>
      <diagonal/>
    </border>
    <border>
      <left/>
      <right style="thick">
        <color auto="1"/>
      </right>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right/>
      <top style="medium">
        <color indexed="64"/>
      </top>
      <bottom style="thin">
        <color indexed="64"/>
      </bottom>
      <diagonal/>
    </border>
    <border>
      <left/>
      <right/>
      <top/>
      <bottom style="dashDot">
        <color auto="1"/>
      </bottom>
      <diagonal/>
    </border>
    <border>
      <left style="medium">
        <color indexed="64"/>
      </left>
      <right style="medium">
        <color indexed="64"/>
      </right>
      <top style="medium">
        <color indexed="64"/>
      </top>
      <bottom style="dashDot">
        <color auto="1"/>
      </bottom>
      <diagonal/>
    </border>
    <border>
      <left/>
      <right style="medium">
        <color indexed="64"/>
      </right>
      <top style="medium">
        <color indexed="64"/>
      </top>
      <bottom style="dashDot">
        <color auto="1"/>
      </bottom>
      <diagonal/>
    </border>
  </borders>
  <cellStyleXfs count="5">
    <xf numFmtId="0" fontId="0" fillId="0" borderId="0"/>
    <xf numFmtId="9" fontId="7" fillId="0" borderId="0" applyFont="0" applyFill="0" applyBorder="0" applyAlignment="0" applyProtection="0"/>
    <xf numFmtId="41" fontId="7" fillId="0" borderId="0" applyFont="0" applyFill="0" applyBorder="0" applyAlignment="0" applyProtection="0"/>
    <xf numFmtId="0" fontId="17" fillId="0" borderId="0" applyNumberFormat="0" applyFill="0" applyBorder="0" applyAlignment="0" applyProtection="0"/>
    <xf numFmtId="43" fontId="7" fillId="0" borderId="0" applyFont="0" applyFill="0" applyBorder="0" applyAlignment="0" applyProtection="0"/>
  </cellStyleXfs>
  <cellXfs count="421">
    <xf numFmtId="0" fontId="0" fillId="0" borderId="0" xfId="0"/>
    <xf numFmtId="0" fontId="1" fillId="0" borderId="0" xfId="0" applyFont="1"/>
    <xf numFmtId="0" fontId="1" fillId="0" borderId="0" xfId="0" applyFont="1" applyAlignment="1">
      <alignment horizontal="center"/>
    </xf>
    <xf numFmtId="0" fontId="2" fillId="0" borderId="0" xfId="0" applyFont="1"/>
    <xf numFmtId="0" fontId="2" fillId="2" borderId="0" xfId="0" applyFont="1" applyFill="1"/>
    <xf numFmtId="0" fontId="1" fillId="2" borderId="0" xfId="0" applyFont="1" applyFill="1"/>
    <xf numFmtId="0" fontId="2" fillId="3" borderId="0" xfId="0" applyFont="1" applyFill="1"/>
    <xf numFmtId="14" fontId="1" fillId="0" borderId="0" xfId="0" applyNumberFormat="1" applyFont="1"/>
    <xf numFmtId="3" fontId="1" fillId="0" borderId="0" xfId="0" applyNumberFormat="1" applyFont="1"/>
    <xf numFmtId="0" fontId="1" fillId="0" borderId="1" xfId="0" applyFont="1" applyBorder="1" applyAlignment="1">
      <alignment horizontal="center"/>
    </xf>
    <xf numFmtId="37" fontId="1" fillId="0" borderId="0" xfId="0" applyNumberFormat="1" applyFont="1"/>
    <xf numFmtId="37" fontId="1" fillId="0" borderId="0" xfId="0" applyNumberFormat="1" applyFont="1" applyAlignment="1">
      <alignment horizontal="center"/>
    </xf>
    <xf numFmtId="37" fontId="1" fillId="0" borderId="2" xfId="0" applyNumberFormat="1" applyFont="1" applyBorder="1" applyAlignment="1">
      <alignment horizontal="center"/>
    </xf>
    <xf numFmtId="9" fontId="1" fillId="0" borderId="0" xfId="0" applyNumberFormat="1" applyFont="1" applyAlignment="1">
      <alignment horizontal="center"/>
    </xf>
    <xf numFmtId="3" fontId="1" fillId="0" borderId="0" xfId="0" applyNumberFormat="1" applyFont="1" applyAlignment="1">
      <alignment horizontal="center"/>
    </xf>
    <xf numFmtId="14" fontId="1" fillId="0" borderId="1" xfId="0" applyNumberFormat="1" applyFont="1" applyBorder="1" applyAlignment="1">
      <alignment horizontal="center"/>
    </xf>
    <xf numFmtId="0" fontId="1" fillId="0" borderId="1" xfId="0" applyFont="1" applyBorder="1"/>
    <xf numFmtId="16" fontId="1" fillId="0" borderId="0" xfId="0" applyNumberFormat="1" applyFont="1"/>
    <xf numFmtId="0" fontId="1" fillId="0" borderId="2" xfId="0" applyFont="1" applyBorder="1" applyAlignment="1">
      <alignment horizontal="center"/>
    </xf>
    <xf numFmtId="0" fontId="1" fillId="0" borderId="3" xfId="0" applyFont="1" applyBorder="1" applyAlignment="1">
      <alignment horizontal="center"/>
    </xf>
    <xf numFmtId="0" fontId="1" fillId="3" borderId="0" xfId="0" applyFont="1" applyFill="1"/>
    <xf numFmtId="0" fontId="1" fillId="3" borderId="0" xfId="0" applyFont="1" applyFill="1" applyAlignment="1">
      <alignment horizontal="center"/>
    </xf>
    <xf numFmtId="0" fontId="2" fillId="0" borderId="6" xfId="0" applyFont="1" applyBorder="1"/>
    <xf numFmtId="0" fontId="1" fillId="0" borderId="7" xfId="0" applyFont="1" applyBorder="1"/>
    <xf numFmtId="0" fontId="1" fillId="0" borderId="7" xfId="0" applyFont="1" applyBorder="1" applyAlignment="1">
      <alignment horizontal="center"/>
    </xf>
    <xf numFmtId="0" fontId="1" fillId="0" borderId="8" xfId="0" applyFont="1" applyBorder="1" applyAlignment="1">
      <alignment horizontal="center"/>
    </xf>
    <xf numFmtId="0" fontId="1" fillId="0" borderId="9" xfId="0" applyFont="1" applyBorder="1"/>
    <xf numFmtId="14" fontId="1" fillId="0" borderId="10" xfId="0" applyNumberFormat="1" applyFont="1" applyBorder="1" applyAlignment="1">
      <alignment horizontal="center"/>
    </xf>
    <xf numFmtId="0" fontId="1" fillId="0" borderId="14" xfId="0" applyFont="1" applyBorder="1"/>
    <xf numFmtId="0" fontId="1" fillId="0" borderId="15" xfId="0" applyFont="1" applyBorder="1"/>
    <xf numFmtId="0" fontId="2" fillId="4" borderId="0" xfId="0" applyFont="1" applyFill="1"/>
    <xf numFmtId="0" fontId="1" fillId="4" borderId="0" xfId="0" applyFont="1" applyFill="1"/>
    <xf numFmtId="0" fontId="2" fillId="5" borderId="0" xfId="0" applyFont="1" applyFill="1"/>
    <xf numFmtId="0" fontId="1" fillId="5" borderId="0" xfId="0" applyFont="1" applyFill="1"/>
    <xf numFmtId="14" fontId="2" fillId="3" borderId="0" xfId="0" applyNumberFormat="1" applyFont="1" applyFill="1"/>
    <xf numFmtId="0" fontId="1" fillId="0" borderId="8" xfId="0" applyFont="1" applyBorder="1"/>
    <xf numFmtId="0" fontId="1" fillId="0" borderId="18" xfId="0" applyFont="1" applyBorder="1"/>
    <xf numFmtId="0" fontId="1" fillId="0" borderId="19" xfId="0" applyFont="1" applyBorder="1"/>
    <xf numFmtId="0" fontId="1" fillId="6" borderId="0" xfId="0" applyFont="1" applyFill="1"/>
    <xf numFmtId="14" fontId="1" fillId="0" borderId="1" xfId="0" applyNumberFormat="1" applyFont="1" applyBorder="1"/>
    <xf numFmtId="0" fontId="1" fillId="0" borderId="2" xfId="0" applyFont="1" applyBorder="1"/>
    <xf numFmtId="37" fontId="1" fillId="0" borderId="2" xfId="0" applyNumberFormat="1" applyFont="1" applyBorder="1"/>
    <xf numFmtId="9" fontId="1" fillId="0" borderId="0" xfId="0" applyNumberFormat="1" applyFont="1"/>
    <xf numFmtId="37" fontId="1" fillId="6" borderId="0" xfId="0" applyNumberFormat="1" applyFont="1" applyFill="1"/>
    <xf numFmtId="0" fontId="1" fillId="0" borderId="20" xfId="0" applyFont="1" applyBorder="1"/>
    <xf numFmtId="0" fontId="5" fillId="6" borderId="0" xfId="0" applyFont="1" applyFill="1"/>
    <xf numFmtId="3" fontId="1" fillId="0" borderId="2" xfId="0" applyNumberFormat="1" applyFont="1" applyBorder="1"/>
    <xf numFmtId="14" fontId="1" fillId="0" borderId="0" xfId="0" applyNumberFormat="1" applyFont="1" applyAlignment="1">
      <alignment horizontal="center"/>
    </xf>
    <xf numFmtId="0" fontId="2" fillId="6" borderId="0" xfId="0" applyFont="1" applyFill="1"/>
    <xf numFmtId="0" fontId="2" fillId="7" borderId="0" xfId="0" applyFont="1" applyFill="1"/>
    <xf numFmtId="0" fontId="1" fillId="0" borderId="22" xfId="0" applyFont="1" applyBorder="1"/>
    <xf numFmtId="14" fontId="1" fillId="0" borderId="22" xfId="0" applyNumberFormat="1" applyFont="1" applyBorder="1"/>
    <xf numFmtId="0" fontId="1" fillId="2" borderId="22" xfId="0" applyFont="1" applyFill="1" applyBorder="1"/>
    <xf numFmtId="0" fontId="1" fillId="0" borderId="6" xfId="0" applyFont="1" applyBorder="1"/>
    <xf numFmtId="0" fontId="8" fillId="0" borderId="0" xfId="0" applyFont="1"/>
    <xf numFmtId="0" fontId="1" fillId="0" borderId="0" xfId="0" applyFont="1" applyAlignment="1">
      <alignment horizontal="right"/>
    </xf>
    <xf numFmtId="37" fontId="2" fillId="3" borderId="2" xfId="0" applyNumberFormat="1" applyFont="1" applyFill="1" applyBorder="1"/>
    <xf numFmtId="0" fontId="2" fillId="0" borderId="23" xfId="0" applyFont="1" applyBorder="1"/>
    <xf numFmtId="0" fontId="2" fillId="0" borderId="24" xfId="0" applyFont="1" applyBorder="1"/>
    <xf numFmtId="0" fontId="2" fillId="0" borderId="25" xfId="0" applyFont="1" applyBorder="1"/>
    <xf numFmtId="9" fontId="1" fillId="0" borderId="0" xfId="1" applyFont="1"/>
    <xf numFmtId="0" fontId="1" fillId="0" borderId="18" xfId="0" applyFont="1" applyBorder="1" applyAlignment="1">
      <alignment horizontal="center"/>
    </xf>
    <xf numFmtId="0" fontId="1" fillId="0" borderId="19" xfId="0" applyFont="1" applyBorder="1" applyAlignment="1">
      <alignment horizontal="center"/>
    </xf>
    <xf numFmtId="14" fontId="2" fillId="0" borderId="0" xfId="0" applyNumberFormat="1" applyFont="1"/>
    <xf numFmtId="9" fontId="0" fillId="0" borderId="0" xfId="0" applyNumberFormat="1"/>
    <xf numFmtId="3" fontId="1" fillId="0" borderId="15" xfId="0" applyNumberFormat="1" applyFont="1" applyBorder="1"/>
    <xf numFmtId="0" fontId="1" fillId="0" borderId="23" xfId="0" applyFont="1" applyBorder="1"/>
    <xf numFmtId="0" fontId="1" fillId="0" borderId="24" xfId="0" applyFont="1" applyBorder="1"/>
    <xf numFmtId="3" fontId="1" fillId="0" borderId="24" xfId="0" applyNumberFormat="1" applyFont="1" applyBorder="1" applyAlignment="1">
      <alignment horizontal="center"/>
    </xf>
    <xf numFmtId="0" fontId="2" fillId="0" borderId="0" xfId="0" applyFont="1" applyAlignment="1">
      <alignment horizontal="center"/>
    </xf>
    <xf numFmtId="0" fontId="1" fillId="0" borderId="22" xfId="0" applyFont="1" applyBorder="1" applyAlignment="1">
      <alignment horizontal="right" wrapText="1"/>
    </xf>
    <xf numFmtId="0" fontId="2" fillId="8" borderId="0" xfId="0" applyFont="1" applyFill="1"/>
    <xf numFmtId="0" fontId="1" fillId="8" borderId="0" xfId="0" applyFont="1" applyFill="1"/>
    <xf numFmtId="0" fontId="9" fillId="0" borderId="0" xfId="0" applyFont="1" applyAlignment="1">
      <alignment readingOrder="2"/>
    </xf>
    <xf numFmtId="0" fontId="10" fillId="0" borderId="0" xfId="0" applyFont="1"/>
    <xf numFmtId="0" fontId="2" fillId="9" borderId="0" xfId="0" applyFont="1" applyFill="1"/>
    <xf numFmtId="0" fontId="1" fillId="0" borderId="0" xfId="0" applyFont="1" applyAlignment="1">
      <alignment wrapText="1"/>
    </xf>
    <xf numFmtId="0" fontId="11" fillId="0" borderId="0" xfId="0" applyFont="1"/>
    <xf numFmtId="3" fontId="0" fillId="0" borderId="0" xfId="0" applyNumberFormat="1"/>
    <xf numFmtId="3" fontId="1" fillId="3" borderId="0" xfId="0" applyNumberFormat="1" applyFont="1" applyFill="1"/>
    <xf numFmtId="37" fontId="5" fillId="0" borderId="0" xfId="0" applyNumberFormat="1" applyFont="1"/>
    <xf numFmtId="37" fontId="5" fillId="0" borderId="2" xfId="0" applyNumberFormat="1" applyFont="1" applyBorder="1"/>
    <xf numFmtId="9" fontId="5" fillId="0" borderId="0" xfId="0" applyNumberFormat="1" applyFont="1"/>
    <xf numFmtId="0" fontId="13" fillId="0" borderId="0" xfId="0" applyFont="1"/>
    <xf numFmtId="0" fontId="14" fillId="0" borderId="0" xfId="0" applyFont="1"/>
    <xf numFmtId="37" fontId="14" fillId="0" borderId="0" xfId="0" applyNumberFormat="1" applyFont="1"/>
    <xf numFmtId="0" fontId="1" fillId="0" borderId="31" xfId="0" applyFont="1" applyBorder="1"/>
    <xf numFmtId="0" fontId="1" fillId="0" borderId="4" xfId="0" applyFont="1" applyBorder="1"/>
    <xf numFmtId="0" fontId="1" fillId="0" borderId="32" xfId="0" applyFont="1" applyBorder="1"/>
    <xf numFmtId="0" fontId="1" fillId="0" borderId="27" xfId="0" applyFont="1" applyBorder="1"/>
    <xf numFmtId="0" fontId="1" fillId="0" borderId="28" xfId="0" applyFont="1" applyBorder="1"/>
    <xf numFmtId="0" fontId="1" fillId="0" borderId="33" xfId="0" applyFont="1" applyBorder="1"/>
    <xf numFmtId="0" fontId="1" fillId="0" borderId="34" xfId="0" applyFont="1" applyBorder="1"/>
    <xf numFmtId="0" fontId="3" fillId="0" borderId="0" xfId="0" applyFont="1"/>
    <xf numFmtId="14" fontId="5" fillId="0" borderId="1" xfId="0" applyNumberFormat="1" applyFont="1" applyBorder="1"/>
    <xf numFmtId="0" fontId="15" fillId="0" borderId="0" xfId="0" applyFont="1"/>
    <xf numFmtId="0" fontId="5" fillId="0" borderId="0" xfId="0" applyFont="1"/>
    <xf numFmtId="37" fontId="16" fillId="0" borderId="0" xfId="0" applyNumberFormat="1" applyFont="1"/>
    <xf numFmtId="37" fontId="1" fillId="3" borderId="2" xfId="0" applyNumberFormat="1" applyFont="1" applyFill="1" applyBorder="1"/>
    <xf numFmtId="37" fontId="5" fillId="3" borderId="2" xfId="0" applyNumberFormat="1" applyFont="1" applyFill="1" applyBorder="1"/>
    <xf numFmtId="0" fontId="2" fillId="11" borderId="0" xfId="0" applyFont="1" applyFill="1"/>
    <xf numFmtId="0" fontId="1" fillId="11" borderId="0" xfId="0" applyFont="1" applyFill="1"/>
    <xf numFmtId="0" fontId="18" fillId="0" borderId="0" xfId="0" applyFont="1"/>
    <xf numFmtId="41" fontId="1" fillId="0" borderId="0" xfId="2" applyFont="1"/>
    <xf numFmtId="0" fontId="19" fillId="0" borderId="0" xfId="0" applyFont="1"/>
    <xf numFmtId="0" fontId="1" fillId="0" borderId="0" xfId="0" applyFont="1" applyAlignment="1">
      <alignment horizontal="centerContinuous"/>
    </xf>
    <xf numFmtId="41" fontId="1" fillId="0" borderId="0" xfId="2" applyFont="1" applyAlignment="1">
      <alignment horizontal="centerContinuous"/>
    </xf>
    <xf numFmtId="41" fontId="20" fillId="0" borderId="0" xfId="2" applyFont="1"/>
    <xf numFmtId="0" fontId="21" fillId="0" borderId="0" xfId="3" applyFont="1" applyAlignment="1">
      <alignment horizontal="centerContinuous"/>
    </xf>
    <xf numFmtId="0" fontId="1" fillId="0" borderId="35" xfId="0" applyFont="1" applyBorder="1"/>
    <xf numFmtId="0" fontId="1" fillId="0" borderId="36" xfId="0" applyFont="1" applyBorder="1"/>
    <xf numFmtId="0" fontId="1" fillId="0" borderId="37" xfId="0" applyFont="1" applyBorder="1"/>
    <xf numFmtId="41" fontId="1" fillId="0" borderId="0" xfId="0" applyNumberFormat="1" applyFont="1"/>
    <xf numFmtId="3" fontId="1" fillId="0" borderId="18" xfId="0" applyNumberFormat="1" applyFont="1" applyBorder="1"/>
    <xf numFmtId="41" fontId="1" fillId="0" borderId="15" xfId="0" applyNumberFormat="1" applyFont="1" applyBorder="1"/>
    <xf numFmtId="41" fontId="1" fillId="0" borderId="15" xfId="2" applyFont="1" applyBorder="1"/>
    <xf numFmtId="41" fontId="1" fillId="0" borderId="19" xfId="0" applyNumberFormat="1" applyFont="1" applyBorder="1"/>
    <xf numFmtId="41" fontId="22" fillId="0" borderId="0" xfId="2" applyFont="1"/>
    <xf numFmtId="0" fontId="23" fillId="0" borderId="0" xfId="0" applyFont="1"/>
    <xf numFmtId="0" fontId="21" fillId="0" borderId="1" xfId="3" applyFont="1" applyBorder="1" applyAlignment="1">
      <alignment horizontal="centerContinuous"/>
    </xf>
    <xf numFmtId="0" fontId="25" fillId="0" borderId="0" xfId="0" applyFont="1"/>
    <xf numFmtId="41" fontId="14" fillId="0" borderId="0" xfId="2" applyFont="1"/>
    <xf numFmtId="41" fontId="1" fillId="0" borderId="0" xfId="2" applyFont="1" applyBorder="1"/>
    <xf numFmtId="41" fontId="1" fillId="3" borderId="1" xfId="2" applyFont="1" applyFill="1" applyBorder="1"/>
    <xf numFmtId="0" fontId="2" fillId="0" borderId="9" xfId="0" applyFont="1" applyBorder="1"/>
    <xf numFmtId="0" fontId="2" fillId="0" borderId="14" xfId="0" applyFont="1" applyBorder="1"/>
    <xf numFmtId="3" fontId="2" fillId="0" borderId="2" xfId="0" applyNumberFormat="1" applyFont="1" applyBorder="1"/>
    <xf numFmtId="0" fontId="2" fillId="12" borderId="0" xfId="0" applyFont="1" applyFill="1"/>
    <xf numFmtId="0" fontId="9" fillId="0" borderId="6" xfId="0" applyFont="1" applyBorder="1" applyAlignment="1">
      <alignment horizontal="right" vertical="center" readingOrder="2"/>
    </xf>
    <xf numFmtId="3" fontId="1" fillId="0" borderId="7" xfId="0" applyNumberFormat="1" applyFont="1" applyBorder="1"/>
    <xf numFmtId="0" fontId="9" fillId="0" borderId="23" xfId="0" applyFont="1" applyBorder="1" applyAlignment="1">
      <alignment horizontal="right" vertical="center" readingOrder="2"/>
    </xf>
    <xf numFmtId="3" fontId="1" fillId="0" borderId="24" xfId="0" applyNumberFormat="1" applyFont="1" applyBorder="1"/>
    <xf numFmtId="0" fontId="1" fillId="0" borderId="25" xfId="0" applyFont="1" applyBorder="1"/>
    <xf numFmtId="3" fontId="1" fillId="4" borderId="0" xfId="0" applyNumberFormat="1" applyFont="1" applyFill="1" applyAlignment="1">
      <alignment horizontal="center"/>
    </xf>
    <xf numFmtId="0" fontId="1" fillId="13" borderId="0" xfId="0" applyFont="1" applyFill="1"/>
    <xf numFmtId="3" fontId="1" fillId="13" borderId="0" xfId="0" applyNumberFormat="1" applyFont="1" applyFill="1"/>
    <xf numFmtId="37" fontId="1" fillId="3" borderId="0" xfId="0" applyNumberFormat="1" applyFont="1" applyFill="1"/>
    <xf numFmtId="37" fontId="1" fillId="13" borderId="0" xfId="0" applyNumberFormat="1" applyFont="1" applyFill="1"/>
    <xf numFmtId="3" fontId="1" fillId="0" borderId="38" xfId="0" applyNumberFormat="1" applyFont="1" applyBorder="1"/>
    <xf numFmtId="37" fontId="1" fillId="0" borderId="38" xfId="0" applyNumberFormat="1" applyFont="1" applyBorder="1"/>
    <xf numFmtId="165" fontId="2" fillId="0" borderId="0" xfId="1" applyNumberFormat="1" applyFont="1" applyAlignment="1">
      <alignment horizontal="center"/>
    </xf>
    <xf numFmtId="3" fontId="2" fillId="11" borderId="38" xfId="0" applyNumberFormat="1" applyFont="1" applyFill="1" applyBorder="1"/>
    <xf numFmtId="10" fontId="14" fillId="0" borderId="0" xfId="1" applyNumberFormat="1" applyFont="1"/>
    <xf numFmtId="3" fontId="27" fillId="0" borderId="38" xfId="0" applyNumberFormat="1" applyFont="1" applyBorder="1" applyAlignment="1">
      <alignment horizontal="center"/>
    </xf>
    <xf numFmtId="3" fontId="2" fillId="0" borderId="0" xfId="0" applyNumberFormat="1" applyFont="1" applyAlignment="1">
      <alignment horizontal="center"/>
    </xf>
    <xf numFmtId="3" fontId="2" fillId="3" borderId="38" xfId="0" applyNumberFormat="1" applyFont="1" applyFill="1" applyBorder="1"/>
    <xf numFmtId="3" fontId="1" fillId="11" borderId="0" xfId="0" applyNumberFormat="1" applyFont="1" applyFill="1"/>
    <xf numFmtId="3" fontId="1" fillId="7" borderId="0" xfId="0" applyNumberFormat="1" applyFont="1" applyFill="1"/>
    <xf numFmtId="0" fontId="1" fillId="7" borderId="0" xfId="0" applyFont="1" applyFill="1"/>
    <xf numFmtId="3" fontId="2" fillId="6" borderId="0" xfId="0" applyNumberFormat="1" applyFont="1" applyFill="1"/>
    <xf numFmtId="3" fontId="2" fillId="14" borderId="0" xfId="0" applyNumberFormat="1" applyFont="1" applyFill="1"/>
    <xf numFmtId="0" fontId="2" fillId="15" borderId="0" xfId="0" applyFont="1" applyFill="1"/>
    <xf numFmtId="0" fontId="0" fillId="3" borderId="0" xfId="0" applyFill="1"/>
    <xf numFmtId="0" fontId="0" fillId="0" borderId="24" xfId="0" applyBorder="1"/>
    <xf numFmtId="0" fontId="0" fillId="0" borderId="25" xfId="0" applyBorder="1"/>
    <xf numFmtId="3" fontId="3" fillId="0" borderId="0" xfId="0" applyNumberFormat="1" applyFont="1"/>
    <xf numFmtId="0" fontId="29" fillId="0" borderId="0" xfId="0" applyFont="1"/>
    <xf numFmtId="3" fontId="5" fillId="0" borderId="0" xfId="0" applyNumberFormat="1" applyFont="1"/>
    <xf numFmtId="3" fontId="5" fillId="0" borderId="4" xfId="0" applyNumberFormat="1" applyFont="1" applyBorder="1"/>
    <xf numFmtId="3" fontId="5" fillId="3" borderId="2" xfId="0" applyNumberFormat="1" applyFont="1" applyFill="1" applyBorder="1"/>
    <xf numFmtId="0" fontId="5" fillId="0" borderId="1" xfId="0" applyFont="1" applyBorder="1"/>
    <xf numFmtId="10" fontId="1" fillId="0" borderId="0" xfId="0" applyNumberFormat="1" applyFont="1"/>
    <xf numFmtId="0" fontId="31" fillId="0" borderId="0" xfId="0" applyFont="1"/>
    <xf numFmtId="0" fontId="12" fillId="0" borderId="24" xfId="0" applyFont="1" applyBorder="1"/>
    <xf numFmtId="0" fontId="12" fillId="0" borderId="25" xfId="0" applyFont="1" applyBorder="1"/>
    <xf numFmtId="0" fontId="5" fillId="0" borderId="0" xfId="0" applyFont="1" applyAlignment="1">
      <alignment horizontal="center"/>
    </xf>
    <xf numFmtId="166" fontId="5" fillId="3" borderId="0" xfId="0" applyNumberFormat="1" applyFont="1" applyFill="1" applyAlignment="1">
      <alignment horizontal="center"/>
    </xf>
    <xf numFmtId="10" fontId="5" fillId="3" borderId="0" xfId="0" applyNumberFormat="1" applyFont="1" applyFill="1" applyAlignment="1">
      <alignment horizontal="center"/>
    </xf>
    <xf numFmtId="166" fontId="5" fillId="0" borderId="0" xfId="0" applyNumberFormat="1" applyFont="1" applyAlignment="1">
      <alignment horizontal="center"/>
    </xf>
    <xf numFmtId="37" fontId="5" fillId="0" borderId="0" xfId="0" applyNumberFormat="1" applyFont="1" applyAlignment="1">
      <alignment horizontal="center"/>
    </xf>
    <xf numFmtId="1" fontId="5" fillId="0" borderId="0" xfId="0" applyNumberFormat="1" applyFont="1" applyAlignment="1">
      <alignment horizontal="center"/>
    </xf>
    <xf numFmtId="37" fontId="5" fillId="3" borderId="0" xfId="0" applyNumberFormat="1" applyFont="1" applyFill="1" applyAlignment="1">
      <alignment horizontal="center"/>
    </xf>
    <xf numFmtId="9" fontId="5" fillId="0" borderId="0" xfId="0" applyNumberFormat="1" applyFont="1" applyAlignment="1">
      <alignment horizontal="center"/>
    </xf>
    <xf numFmtId="3" fontId="5" fillId="0" borderId="0" xfId="0" applyNumberFormat="1" applyFont="1" applyAlignment="1">
      <alignment horizontal="center"/>
    </xf>
    <xf numFmtId="3" fontId="5" fillId="3" borderId="0" xfId="0" applyNumberFormat="1" applyFont="1" applyFill="1" applyAlignment="1">
      <alignment horizontal="center"/>
    </xf>
    <xf numFmtId="3" fontId="5" fillId="3" borderId="2" xfId="0" applyNumberFormat="1" applyFont="1" applyFill="1" applyBorder="1" applyAlignment="1">
      <alignment horizontal="center"/>
    </xf>
    <xf numFmtId="3" fontId="5" fillId="0" borderId="2" xfId="0" applyNumberFormat="1" applyFont="1" applyBorder="1"/>
    <xf numFmtId="3" fontId="5" fillId="3" borderId="0" xfId="0" applyNumberFormat="1" applyFont="1" applyFill="1"/>
    <xf numFmtId="0" fontId="2" fillId="0" borderId="1" xfId="0" applyFont="1" applyBorder="1"/>
    <xf numFmtId="0" fontId="8" fillId="0" borderId="0" xfId="0" applyFont="1" applyAlignment="1">
      <alignment horizontal="center"/>
    </xf>
    <xf numFmtId="1" fontId="5" fillId="3" borderId="2" xfId="0" applyNumberFormat="1" applyFont="1" applyFill="1" applyBorder="1"/>
    <xf numFmtId="37" fontId="5" fillId="3" borderId="0" xfId="0" applyNumberFormat="1" applyFont="1" applyFill="1"/>
    <xf numFmtId="37" fontId="5" fillId="11" borderId="0" xfId="0" applyNumberFormat="1" applyFont="1" applyFill="1"/>
    <xf numFmtId="0" fontId="11" fillId="0" borderId="6" xfId="0" applyFont="1" applyBorder="1"/>
    <xf numFmtId="0" fontId="11" fillId="0" borderId="7" xfId="0" applyFont="1" applyBorder="1"/>
    <xf numFmtId="0" fontId="32" fillId="0" borderId="8" xfId="0" applyFont="1" applyBorder="1"/>
    <xf numFmtId="0" fontId="11" fillId="0" borderId="9" xfId="0" applyFont="1" applyBorder="1"/>
    <xf numFmtId="0" fontId="32" fillId="0" borderId="18" xfId="0" applyFont="1" applyBorder="1"/>
    <xf numFmtId="0" fontId="11" fillId="0" borderId="14" xfId="0" applyFont="1" applyBorder="1"/>
    <xf numFmtId="0" fontId="11" fillId="0" borderId="15" xfId="0" applyFont="1" applyBorder="1"/>
    <xf numFmtId="0" fontId="32" fillId="0" borderId="19" xfId="0" applyFont="1" applyBorder="1"/>
    <xf numFmtId="37" fontId="5" fillId="11" borderId="2" xfId="0" applyNumberFormat="1" applyFont="1" applyFill="1" applyBorder="1"/>
    <xf numFmtId="0" fontId="33" fillId="0" borderId="0" xfId="0" applyFont="1"/>
    <xf numFmtId="14" fontId="5" fillId="0" borderId="0" xfId="0" applyNumberFormat="1" applyFont="1"/>
    <xf numFmtId="0" fontId="1" fillId="16" borderId="0" xfId="0" applyFont="1" applyFill="1"/>
    <xf numFmtId="0" fontId="2" fillId="16" borderId="0" xfId="0" applyFont="1" applyFill="1"/>
    <xf numFmtId="37" fontId="3" fillId="0" borderId="0" xfId="0" applyNumberFormat="1" applyFont="1" applyAlignment="1">
      <alignment horizontal="center"/>
    </xf>
    <xf numFmtId="0" fontId="3" fillId="0" borderId="0" xfId="0" applyFont="1" applyAlignment="1">
      <alignment horizontal="center"/>
    </xf>
    <xf numFmtId="14" fontId="1" fillId="0" borderId="39" xfId="0" applyNumberFormat="1" applyFont="1" applyBorder="1" applyAlignment="1">
      <alignment horizontal="center"/>
    </xf>
    <xf numFmtId="37" fontId="34" fillId="0" borderId="24" xfId="0" applyNumberFormat="1" applyFont="1" applyBorder="1" applyAlignment="1">
      <alignment horizontal="center"/>
    </xf>
    <xf numFmtId="37" fontId="34" fillId="0" borderId="25" xfId="0" applyNumberFormat="1" applyFont="1" applyBorder="1" applyAlignment="1">
      <alignment horizontal="center"/>
    </xf>
    <xf numFmtId="3" fontId="28" fillId="3" borderId="0" xfId="0" applyNumberFormat="1" applyFont="1" applyFill="1"/>
    <xf numFmtId="0" fontId="5" fillId="0" borderId="6" xfId="0" applyFont="1" applyBorder="1"/>
    <xf numFmtId="0" fontId="5" fillId="0" borderId="7" xfId="0" applyFont="1" applyBorder="1"/>
    <xf numFmtId="0" fontId="5" fillId="0" borderId="8" xfId="0" applyFont="1" applyBorder="1"/>
    <xf numFmtId="0" fontId="5" fillId="0" borderId="9" xfId="0" applyFont="1" applyBorder="1"/>
    <xf numFmtId="0" fontId="5" fillId="0" borderId="18" xfId="0" applyFont="1" applyBorder="1"/>
    <xf numFmtId="0" fontId="5" fillId="0" borderId="14" xfId="0" applyFont="1" applyBorder="1"/>
    <xf numFmtId="0" fontId="5" fillId="0" borderId="15" xfId="0" applyFont="1" applyBorder="1"/>
    <xf numFmtId="0" fontId="5" fillId="0" borderId="19" xfId="0" applyFont="1" applyBorder="1"/>
    <xf numFmtId="37" fontId="5" fillId="0" borderId="2" xfId="0" applyNumberFormat="1" applyFont="1" applyBorder="1" applyAlignment="1">
      <alignment horizontal="center"/>
    </xf>
    <xf numFmtId="37" fontId="5" fillId="3" borderId="15" xfId="0" applyNumberFormat="1" applyFont="1" applyFill="1" applyBorder="1" applyAlignment="1">
      <alignment horizontal="center"/>
    </xf>
    <xf numFmtId="37" fontId="5" fillId="17" borderId="0" xfId="0" applyNumberFormat="1" applyFont="1" applyFill="1" applyAlignment="1">
      <alignment horizontal="center"/>
    </xf>
    <xf numFmtId="37" fontId="5" fillId="17" borderId="7" xfId="0" applyNumberFormat="1" applyFont="1" applyFill="1" applyBorder="1" applyAlignment="1">
      <alignment horizontal="center"/>
    </xf>
    <xf numFmtId="37" fontId="5" fillId="17" borderId="15" xfId="0" applyNumberFormat="1" applyFont="1" applyFill="1" applyBorder="1" applyAlignment="1">
      <alignment horizontal="center"/>
    </xf>
    <xf numFmtId="37" fontId="5" fillId="0" borderId="22" xfId="0" applyNumberFormat="1" applyFont="1" applyBorder="1"/>
    <xf numFmtId="0" fontId="5" fillId="0" borderId="22" xfId="0" applyFont="1" applyBorder="1"/>
    <xf numFmtId="37" fontId="5" fillId="3" borderId="22" xfId="0" applyNumberFormat="1" applyFont="1" applyFill="1" applyBorder="1"/>
    <xf numFmtId="37" fontId="5" fillId="3" borderId="16" xfId="0" applyNumberFormat="1" applyFont="1" applyFill="1" applyBorder="1" applyAlignment="1">
      <alignment horizontal="center"/>
    </xf>
    <xf numFmtId="0" fontId="5" fillId="0" borderId="9" xfId="0" applyFont="1" applyBorder="1" applyAlignment="1">
      <alignment horizontal="center"/>
    </xf>
    <xf numFmtId="37" fontId="5" fillId="0" borderId="16" xfId="0" applyNumberFormat="1" applyFont="1" applyBorder="1" applyAlignment="1">
      <alignment horizontal="center"/>
    </xf>
    <xf numFmtId="3" fontId="8" fillId="0" borderId="0" xfId="0" applyNumberFormat="1" applyFont="1" applyAlignment="1">
      <alignment horizontal="center"/>
    </xf>
    <xf numFmtId="3" fontId="14" fillId="0" borderId="2" xfId="0" applyNumberFormat="1" applyFont="1" applyBorder="1" applyAlignment="1">
      <alignment horizontal="center"/>
    </xf>
    <xf numFmtId="10" fontId="5" fillId="0" borderId="0" xfId="0" applyNumberFormat="1" applyFont="1" applyAlignment="1">
      <alignment horizontal="center"/>
    </xf>
    <xf numFmtId="37" fontId="5" fillId="0" borderId="0" xfId="0" applyNumberFormat="1" applyFont="1" applyAlignment="1">
      <alignment horizontal="right"/>
    </xf>
    <xf numFmtId="0" fontId="1" fillId="0" borderId="0" xfId="0" applyFont="1" applyAlignment="1">
      <alignment horizontal="right" readingOrder="2"/>
    </xf>
    <xf numFmtId="0" fontId="2" fillId="17" borderId="0" xfId="0" applyFont="1" applyFill="1"/>
    <xf numFmtId="0" fontId="1" fillId="17" borderId="0" xfId="0" applyFont="1" applyFill="1"/>
    <xf numFmtId="0" fontId="5" fillId="0" borderId="2" xfId="0" applyFont="1" applyBorder="1" applyAlignment="1">
      <alignment horizontal="center"/>
    </xf>
    <xf numFmtId="164" fontId="5" fillId="0" borderId="2" xfId="0" applyNumberFormat="1" applyFont="1" applyBorder="1" applyAlignment="1">
      <alignment horizontal="center"/>
    </xf>
    <xf numFmtId="164" fontId="5" fillId="0" borderId="0" xfId="0" applyNumberFormat="1" applyFont="1" applyAlignment="1">
      <alignment horizontal="center"/>
    </xf>
    <xf numFmtId="37" fontId="36" fillId="0" borderId="0" xfId="0" applyNumberFormat="1" applyFont="1" applyAlignment="1">
      <alignment horizontal="right"/>
    </xf>
    <xf numFmtId="164" fontId="36" fillId="0" borderId="0" xfId="0" applyNumberFormat="1" applyFont="1" applyAlignment="1">
      <alignment horizontal="center"/>
    </xf>
    <xf numFmtId="0" fontId="5" fillId="0" borderId="3" xfId="0" applyFont="1" applyBorder="1" applyAlignment="1">
      <alignment horizontal="center"/>
    </xf>
    <xf numFmtId="37" fontId="37" fillId="0" borderId="0" xfId="0" applyNumberFormat="1" applyFont="1" applyAlignment="1">
      <alignment horizontal="right"/>
    </xf>
    <xf numFmtId="37" fontId="33" fillId="0" borderId="0" xfId="0" applyNumberFormat="1" applyFont="1" applyAlignment="1">
      <alignment horizontal="center"/>
    </xf>
    <xf numFmtId="164" fontId="33" fillId="0" borderId="0" xfId="0" applyNumberFormat="1" applyFont="1" applyAlignment="1">
      <alignment horizontal="center"/>
    </xf>
    <xf numFmtId="164" fontId="37" fillId="0" borderId="0" xfId="0" applyNumberFormat="1" applyFont="1" applyAlignment="1">
      <alignment horizontal="center"/>
    </xf>
    <xf numFmtId="0" fontId="5" fillId="0" borderId="41" xfId="0" applyFont="1" applyBorder="1" applyAlignment="1">
      <alignment horizontal="center"/>
    </xf>
    <xf numFmtId="164" fontId="5" fillId="0" borderId="37" xfId="0" applyNumberFormat="1" applyFont="1" applyBorder="1" applyAlignment="1">
      <alignment horizontal="center"/>
    </xf>
    <xf numFmtId="0" fontId="5" fillId="0" borderId="42" xfId="0" applyFont="1" applyBorder="1" applyAlignment="1">
      <alignment horizontal="center"/>
    </xf>
    <xf numFmtId="164" fontId="5" fillId="0" borderId="19" xfId="0" applyNumberFormat="1" applyFont="1" applyBorder="1" applyAlignment="1">
      <alignment horizontal="center"/>
    </xf>
    <xf numFmtId="37" fontId="5" fillId="0" borderId="37" xfId="0" applyNumberFormat="1" applyFont="1" applyBorder="1" applyAlignment="1">
      <alignment horizontal="center"/>
    </xf>
    <xf numFmtId="0" fontId="33" fillId="0" borderId="40" xfId="0" applyFont="1" applyBorder="1" applyAlignment="1">
      <alignment horizontal="center"/>
    </xf>
    <xf numFmtId="37" fontId="3" fillId="0" borderId="0" xfId="0" applyNumberFormat="1" applyFont="1"/>
    <xf numFmtId="14" fontId="5" fillId="0" borderId="1" xfId="0" applyNumberFormat="1" applyFont="1" applyBorder="1" applyAlignment="1">
      <alignment horizontal="center"/>
    </xf>
    <xf numFmtId="0" fontId="5" fillId="0" borderId="1" xfId="0" applyFont="1" applyBorder="1" applyAlignment="1">
      <alignment horizontal="center"/>
    </xf>
    <xf numFmtId="0" fontId="3" fillId="0" borderId="20" xfId="0" applyFont="1" applyBorder="1"/>
    <xf numFmtId="0" fontId="5" fillId="0" borderId="21" xfId="0" applyFont="1" applyBorder="1"/>
    <xf numFmtId="9" fontId="5" fillId="0" borderId="20" xfId="0" applyNumberFormat="1" applyFont="1" applyBorder="1"/>
    <xf numFmtId="0" fontId="5" fillId="0" borderId="20" xfId="0" applyFont="1" applyBorder="1"/>
    <xf numFmtId="37" fontId="5" fillId="0" borderId="20" xfId="0" applyNumberFormat="1" applyFont="1" applyBorder="1"/>
    <xf numFmtId="0" fontId="5" fillId="10" borderId="1" xfId="0" applyFont="1" applyFill="1" applyBorder="1"/>
    <xf numFmtId="9" fontId="5" fillId="0" borderId="0" xfId="0" applyNumberFormat="1" applyFont="1" applyAlignment="1">
      <alignment horizontal="right" readingOrder="1"/>
    </xf>
    <xf numFmtId="0" fontId="5" fillId="10" borderId="0" xfId="0" applyFont="1" applyFill="1"/>
    <xf numFmtId="0" fontId="38" fillId="0" borderId="0" xfId="0" applyFont="1"/>
    <xf numFmtId="37" fontId="38" fillId="0" borderId="0" xfId="0" applyNumberFormat="1" applyFont="1"/>
    <xf numFmtId="37" fontId="38" fillId="0" borderId="0" xfId="0" applyNumberFormat="1" applyFont="1" applyAlignment="1">
      <alignment horizontal="center"/>
    </xf>
    <xf numFmtId="0" fontId="1" fillId="7" borderId="1" xfId="0" applyFont="1" applyFill="1" applyBorder="1" applyAlignment="1">
      <alignment horizontal="center"/>
    </xf>
    <xf numFmtId="3" fontId="1" fillId="18" borderId="0" xfId="0" applyNumberFormat="1" applyFont="1" applyFill="1"/>
    <xf numFmtId="0" fontId="39" fillId="0" borderId="0" xfId="0" applyFont="1"/>
    <xf numFmtId="37" fontId="5" fillId="7" borderId="0" xfId="0" applyNumberFormat="1" applyFont="1" applyFill="1"/>
    <xf numFmtId="0" fontId="40" fillId="0" borderId="1" xfId="0" applyFont="1" applyBorder="1"/>
    <xf numFmtId="3" fontId="2" fillId="0" borderId="0" xfId="0" applyNumberFormat="1" applyFont="1"/>
    <xf numFmtId="9" fontId="3" fillId="0" borderId="0" xfId="0" applyNumberFormat="1" applyFont="1"/>
    <xf numFmtId="0" fontId="5" fillId="0" borderId="0" xfId="0" applyFont="1" applyAlignment="1">
      <alignment horizontal="right"/>
    </xf>
    <xf numFmtId="0" fontId="33" fillId="0" borderId="22" xfId="0" applyFont="1" applyBorder="1" applyAlignment="1">
      <alignment wrapText="1"/>
    </xf>
    <xf numFmtId="37" fontId="33" fillId="3" borderId="2" xfId="0" applyNumberFormat="1" applyFont="1" applyFill="1" applyBorder="1"/>
    <xf numFmtId="0" fontId="5" fillId="0" borderId="22" xfId="0" applyFont="1" applyBorder="1" applyAlignment="1">
      <alignment wrapText="1"/>
    </xf>
    <xf numFmtId="9" fontId="5" fillId="0" borderId="22" xfId="0" applyNumberFormat="1" applyFont="1" applyBorder="1"/>
    <xf numFmtId="164" fontId="5" fillId="0" borderId="22" xfId="0" applyNumberFormat="1" applyFont="1" applyBorder="1"/>
    <xf numFmtId="37" fontId="5" fillId="0" borderId="18" xfId="0" applyNumberFormat="1" applyFont="1" applyBorder="1"/>
    <xf numFmtId="0" fontId="33" fillId="0" borderId="0" xfId="0" applyFont="1" applyAlignment="1">
      <alignment horizontal="center"/>
    </xf>
    <xf numFmtId="0" fontId="33" fillId="0" borderId="15" xfId="0" applyFont="1" applyBorder="1" applyAlignment="1">
      <alignment horizontal="center"/>
    </xf>
    <xf numFmtId="0" fontId="33" fillId="0" borderId="18" xfId="0" applyFont="1" applyBorder="1" applyAlignment="1">
      <alignment horizontal="center"/>
    </xf>
    <xf numFmtId="0" fontId="33" fillId="0" borderId="19" xfId="0" applyFont="1" applyBorder="1" applyAlignment="1">
      <alignment horizontal="center"/>
    </xf>
    <xf numFmtId="0" fontId="5" fillId="0" borderId="18" xfId="0" applyFont="1" applyBorder="1" applyAlignment="1">
      <alignment horizontal="center"/>
    </xf>
    <xf numFmtId="3" fontId="5" fillId="0" borderId="18" xfId="0" applyNumberFormat="1" applyFont="1" applyBorder="1" applyAlignment="1">
      <alignment horizontal="center"/>
    </xf>
    <xf numFmtId="14" fontId="5" fillId="0" borderId="26" xfId="0" applyNumberFormat="1" applyFont="1" applyBorder="1"/>
    <xf numFmtId="0" fontId="5" fillId="0" borderId="0" xfId="0" applyFont="1" applyAlignment="1">
      <alignment wrapText="1"/>
    </xf>
    <xf numFmtId="0" fontId="33" fillId="0" borderId="6" xfId="0" applyFont="1" applyBorder="1"/>
    <xf numFmtId="37" fontId="5" fillId="3" borderId="12" xfId="0" applyNumberFormat="1" applyFont="1" applyFill="1" applyBorder="1"/>
    <xf numFmtId="9" fontId="5" fillId="0" borderId="18" xfId="0" applyNumberFormat="1" applyFont="1" applyBorder="1"/>
    <xf numFmtId="37" fontId="5" fillId="3" borderId="17" xfId="0" applyNumberFormat="1" applyFont="1" applyFill="1" applyBorder="1"/>
    <xf numFmtId="0" fontId="5" fillId="0" borderId="23" xfId="0" applyFont="1" applyBorder="1"/>
    <xf numFmtId="0" fontId="5" fillId="0" borderId="24" xfId="0" applyFont="1" applyBorder="1"/>
    <xf numFmtId="3" fontId="5" fillId="0" borderId="24" xfId="0" applyNumberFormat="1" applyFont="1" applyBorder="1" applyAlignment="1">
      <alignment horizontal="center"/>
    </xf>
    <xf numFmtId="3" fontId="5" fillId="0" borderId="25" xfId="0" applyNumberFormat="1" applyFont="1" applyBorder="1" applyAlignment="1">
      <alignment horizontal="center"/>
    </xf>
    <xf numFmtId="0" fontId="31" fillId="0" borderId="7" xfId="0" applyFont="1" applyBorder="1"/>
    <xf numFmtId="0" fontId="31" fillId="0" borderId="8" xfId="0" applyFont="1" applyBorder="1"/>
    <xf numFmtId="0" fontId="31" fillId="0" borderId="9" xfId="0" applyFont="1" applyBorder="1"/>
    <xf numFmtId="0" fontId="31" fillId="0" borderId="18" xfId="0" applyFont="1" applyBorder="1"/>
    <xf numFmtId="0" fontId="31" fillId="0" borderId="14" xfId="0" applyFont="1" applyBorder="1"/>
    <xf numFmtId="3" fontId="5" fillId="0" borderId="15" xfId="0" applyNumberFormat="1" applyFont="1" applyBorder="1"/>
    <xf numFmtId="0" fontId="31" fillId="0" borderId="15" xfId="0" applyFont="1" applyBorder="1"/>
    <xf numFmtId="0" fontId="31" fillId="0" borderId="19" xfId="0" applyFont="1" applyBorder="1"/>
    <xf numFmtId="37" fontId="5" fillId="3" borderId="15" xfId="0" applyNumberFormat="1" applyFont="1" applyFill="1" applyBorder="1"/>
    <xf numFmtId="3" fontId="5" fillId="0" borderId="22" xfId="0" applyNumberFormat="1" applyFont="1" applyBorder="1"/>
    <xf numFmtId="2" fontId="5" fillId="0" borderId="22" xfId="0" applyNumberFormat="1" applyFont="1" applyBorder="1"/>
    <xf numFmtId="3" fontId="31" fillId="0" borderId="0" xfId="0" applyNumberFormat="1" applyFont="1"/>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3" fillId="3" borderId="0" xfId="0" applyFont="1" applyFill="1"/>
    <xf numFmtId="14" fontId="33" fillId="3" borderId="0" xfId="0" applyNumberFormat="1" applyFont="1" applyFill="1"/>
    <xf numFmtId="14" fontId="33" fillId="0" borderId="0" xfId="0" applyNumberFormat="1" applyFont="1"/>
    <xf numFmtId="0" fontId="37" fillId="3" borderId="22" xfId="0" applyFont="1" applyFill="1" applyBorder="1"/>
    <xf numFmtId="14" fontId="5" fillId="0" borderId="22" xfId="0" applyNumberFormat="1" applyFont="1" applyBorder="1"/>
    <xf numFmtId="0" fontId="41" fillId="2" borderId="22" xfId="0" applyFont="1" applyFill="1" applyBorder="1"/>
    <xf numFmtId="0" fontId="33" fillId="2" borderId="22" xfId="0" applyFont="1" applyFill="1" applyBorder="1"/>
    <xf numFmtId="14" fontId="5" fillId="0" borderId="22" xfId="0" applyNumberFormat="1" applyFont="1" applyBorder="1" applyAlignment="1">
      <alignment horizontal="center"/>
    </xf>
    <xf numFmtId="37" fontId="5" fillId="0" borderId="22" xfId="0" applyNumberFormat="1" applyFont="1" applyBorder="1" applyAlignment="1">
      <alignment horizontal="center"/>
    </xf>
    <xf numFmtId="37" fontId="31" fillId="0" borderId="22" xfId="0" applyNumberFormat="1" applyFont="1" applyBorder="1" applyAlignment="1">
      <alignment horizontal="center"/>
    </xf>
    <xf numFmtId="0" fontId="33" fillId="0" borderId="22" xfId="0" applyFont="1" applyBorder="1"/>
    <xf numFmtId="37" fontId="33" fillId="11" borderId="22" xfId="0" applyNumberFormat="1" applyFont="1" applyFill="1" applyBorder="1" applyAlignment="1">
      <alignment horizontal="center"/>
    </xf>
    <xf numFmtId="37" fontId="33" fillId="6" borderId="22" xfId="0" applyNumberFormat="1" applyFont="1" applyFill="1" applyBorder="1" applyAlignment="1">
      <alignment horizontal="center"/>
    </xf>
    <xf numFmtId="37" fontId="33" fillId="0" borderId="16" xfId="0" applyNumberFormat="1" applyFont="1" applyBorder="1"/>
    <xf numFmtId="9" fontId="5" fillId="0" borderId="0" xfId="1" applyFont="1"/>
    <xf numFmtId="0" fontId="41" fillId="0" borderId="0" xfId="0" applyFont="1"/>
    <xf numFmtId="1" fontId="5" fillId="0" borderId="22" xfId="0" applyNumberFormat="1" applyFont="1" applyBorder="1"/>
    <xf numFmtId="0" fontId="5" fillId="3" borderId="0" xfId="0" applyFont="1" applyFill="1"/>
    <xf numFmtId="0" fontId="31" fillId="0" borderId="0" xfId="0" applyFont="1" applyAlignment="1">
      <alignment horizontal="center"/>
    </xf>
    <xf numFmtId="3" fontId="31" fillId="3" borderId="0" xfId="0" applyNumberFormat="1" applyFont="1" applyFill="1"/>
    <xf numFmtId="3" fontId="31" fillId="0" borderId="18" xfId="0" applyNumberFormat="1" applyFont="1" applyBorder="1"/>
    <xf numFmtId="3" fontId="31" fillId="0" borderId="19" xfId="0" applyNumberFormat="1" applyFont="1" applyBorder="1"/>
    <xf numFmtId="0" fontId="31" fillId="10" borderId="0" xfId="0" applyFont="1" applyFill="1"/>
    <xf numFmtId="0" fontId="0" fillId="0" borderId="18" xfId="0" applyBorder="1"/>
    <xf numFmtId="0" fontId="0" fillId="0" borderId="15" xfId="0" applyBorder="1"/>
    <xf numFmtId="0" fontId="0" fillId="0" borderId="19" xfId="0" applyBorder="1"/>
    <xf numFmtId="0" fontId="0" fillId="0" borderId="1" xfId="0" applyBorder="1"/>
    <xf numFmtId="37" fontId="1" fillId="14" borderId="0" xfId="0" applyNumberFormat="1" applyFont="1" applyFill="1"/>
    <xf numFmtId="37" fontId="31" fillId="0" borderId="0" xfId="0" applyNumberFormat="1" applyFont="1"/>
    <xf numFmtId="0" fontId="21" fillId="0" borderId="1" xfId="3" applyFont="1" applyBorder="1" applyAlignment="1"/>
    <xf numFmtId="41" fontId="1" fillId="0" borderId="0" xfId="2" applyFont="1" applyAlignment="1"/>
    <xf numFmtId="3" fontId="1" fillId="0" borderId="19" xfId="0" applyNumberFormat="1" applyFont="1" applyBorder="1"/>
    <xf numFmtId="0" fontId="1" fillId="3" borderId="24" xfId="0" applyFont="1" applyFill="1" applyBorder="1"/>
    <xf numFmtId="0" fontId="1" fillId="4" borderId="24" xfId="0" applyFont="1" applyFill="1" applyBorder="1"/>
    <xf numFmtId="0" fontId="1" fillId="4" borderId="25" xfId="0" applyFont="1" applyFill="1" applyBorder="1"/>
    <xf numFmtId="0" fontId="42" fillId="0" borderId="0" xfId="0" applyFont="1"/>
    <xf numFmtId="41" fontId="14" fillId="0" borderId="1" xfId="2" applyFont="1" applyBorder="1" applyAlignment="1"/>
    <xf numFmtId="41" fontId="1" fillId="0" borderId="0" xfId="2" applyFont="1" applyBorder="1" applyAlignment="1"/>
    <xf numFmtId="41" fontId="1" fillId="3" borderId="0" xfId="2" applyFont="1" applyFill="1" applyBorder="1" applyAlignment="1"/>
    <xf numFmtId="41" fontId="1" fillId="0" borderId="7" xfId="2" applyFont="1" applyBorder="1"/>
    <xf numFmtId="37" fontId="1" fillId="0" borderId="38" xfId="0" applyNumberFormat="1" applyFont="1" applyBorder="1" applyAlignment="1">
      <alignment horizontal="center"/>
    </xf>
    <xf numFmtId="0" fontId="43" fillId="0" borderId="0" xfId="0" applyFont="1"/>
    <xf numFmtId="0" fontId="42" fillId="0" borderId="6" xfId="0" applyFont="1" applyBorder="1"/>
    <xf numFmtId="0" fontId="42" fillId="0" borderId="7" xfId="0" applyFont="1" applyBorder="1"/>
    <xf numFmtId="0" fontId="42" fillId="0" borderId="8" xfId="0" applyFont="1" applyBorder="1"/>
    <xf numFmtId="0" fontId="42" fillId="0" borderId="9" xfId="0" applyFont="1" applyBorder="1"/>
    <xf numFmtId="0" fontId="42" fillId="0" borderId="18" xfId="0" applyFont="1" applyBorder="1"/>
    <xf numFmtId="3" fontId="42" fillId="0" borderId="0" xfId="0" applyNumberFormat="1" applyFont="1"/>
    <xf numFmtId="0" fontId="42" fillId="0" borderId="0" xfId="0" applyFont="1" applyAlignment="1">
      <alignment horizontal="center"/>
    </xf>
    <xf numFmtId="0" fontId="42" fillId="0" borderId="14" xfId="0" applyFont="1" applyBorder="1"/>
    <xf numFmtId="0" fontId="42" fillId="0" borderId="15" xfId="0" applyFont="1" applyBorder="1"/>
    <xf numFmtId="3" fontId="42" fillId="0" borderId="15" xfId="0" applyNumberFormat="1" applyFont="1" applyBorder="1"/>
    <xf numFmtId="0" fontId="42" fillId="0" borderId="19" xfId="0" applyFont="1" applyBorder="1"/>
    <xf numFmtId="2" fontId="1" fillId="0" borderId="0" xfId="0" applyNumberFormat="1" applyFont="1"/>
    <xf numFmtId="2" fontId="1" fillId="3" borderId="0" xfId="0" applyNumberFormat="1" applyFont="1" applyFill="1"/>
    <xf numFmtId="0" fontId="44" fillId="0" borderId="0" xfId="0" applyFont="1" applyAlignment="1">
      <alignment horizontal="right" vertical="center" readingOrder="2"/>
    </xf>
    <xf numFmtId="2" fontId="1" fillId="10" borderId="0" xfId="0" applyNumberFormat="1" applyFont="1" applyFill="1"/>
    <xf numFmtId="37" fontId="1" fillId="0" borderId="16" xfId="0" applyNumberFormat="1" applyFont="1" applyBorder="1" applyAlignment="1">
      <alignment horizontal="center"/>
    </xf>
    <xf numFmtId="0" fontId="45" fillId="0" borderId="0" xfId="0" applyFont="1"/>
    <xf numFmtId="0" fontId="1" fillId="19" borderId="0" xfId="0" applyFont="1" applyFill="1"/>
    <xf numFmtId="3" fontId="1" fillId="0" borderId="8" xfId="0" applyNumberFormat="1" applyFont="1" applyBorder="1"/>
    <xf numFmtId="37" fontId="1" fillId="0" borderId="18" xfId="0" applyNumberFormat="1" applyFont="1" applyBorder="1"/>
    <xf numFmtId="3" fontId="1" fillId="20" borderId="0" xfId="0" applyNumberFormat="1" applyFont="1" applyFill="1" applyAlignment="1">
      <alignment horizontal="center"/>
    </xf>
    <xf numFmtId="37" fontId="1" fillId="20" borderId="18" xfId="0" applyNumberFormat="1" applyFont="1" applyFill="1" applyBorder="1"/>
    <xf numFmtId="3" fontId="1" fillId="21" borderId="0" xfId="0" applyNumberFormat="1" applyFont="1" applyFill="1"/>
    <xf numFmtId="0" fontId="1" fillId="21" borderId="0" xfId="0" applyFont="1" applyFill="1"/>
    <xf numFmtId="0" fontId="2" fillId="0" borderId="7" xfId="0" applyFont="1" applyBorder="1"/>
    <xf numFmtId="0" fontId="2" fillId="0" borderId="8" xfId="0" applyFont="1" applyBorder="1"/>
    <xf numFmtId="0" fontId="2" fillId="0" borderId="18" xfId="0" applyFont="1" applyBorder="1"/>
    <xf numFmtId="0" fontId="46" fillId="0" borderId="9" xfId="0" applyFont="1" applyBorder="1"/>
    <xf numFmtId="0" fontId="46" fillId="0" borderId="14" xfId="0" applyFont="1" applyBorder="1"/>
    <xf numFmtId="43" fontId="1" fillId="0" borderId="0" xfId="4" applyFont="1"/>
    <xf numFmtId="37" fontId="5" fillId="3" borderId="38" xfId="0" applyNumberFormat="1" applyFont="1" applyFill="1" applyBorder="1"/>
    <xf numFmtId="0" fontId="2" fillId="0" borderId="15" xfId="0" applyFont="1" applyBorder="1"/>
    <xf numFmtId="0" fontId="2" fillId="0" borderId="19" xfId="0" applyFont="1" applyBorder="1"/>
    <xf numFmtId="0" fontId="5" fillId="0" borderId="0" xfId="0" applyFont="1" applyAlignment="1">
      <alignment horizontal="center" wrapText="1"/>
    </xf>
    <xf numFmtId="3" fontId="5" fillId="3" borderId="38" xfId="0" applyNumberFormat="1" applyFont="1" applyFill="1" applyBorder="1" applyAlignment="1">
      <alignment horizontal="center"/>
    </xf>
    <xf numFmtId="3" fontId="5" fillId="22" borderId="0" xfId="0" applyNumberFormat="1" applyFont="1" applyFill="1"/>
    <xf numFmtId="0" fontId="1" fillId="0" borderId="1" xfId="0" applyFont="1" applyBorder="1" applyAlignment="1">
      <alignment wrapText="1"/>
    </xf>
    <xf numFmtId="0" fontId="1" fillId="0" borderId="1" xfId="0" applyFont="1" applyBorder="1" applyAlignment="1">
      <alignment horizontal="center" wrapText="1"/>
    </xf>
    <xf numFmtId="3" fontId="1" fillId="3" borderId="2" xfId="0" applyNumberFormat="1" applyFont="1" applyFill="1" applyBorder="1" applyAlignment="1">
      <alignment horizontal="center"/>
    </xf>
    <xf numFmtId="165" fontId="1" fillId="6" borderId="0" xfId="1" applyNumberFormat="1" applyFont="1" applyFill="1" applyAlignment="1">
      <alignment horizontal="center"/>
    </xf>
    <xf numFmtId="3" fontId="2" fillId="14" borderId="0" xfId="0" applyNumberFormat="1" applyFont="1" applyFill="1" applyAlignment="1">
      <alignment horizontal="center"/>
    </xf>
    <xf numFmtId="3" fontId="1" fillId="0" borderId="2" xfId="0" applyNumberFormat="1" applyFont="1" applyBorder="1" applyAlignment="1">
      <alignment horizontal="center"/>
    </xf>
    <xf numFmtId="3" fontId="1" fillId="10" borderId="2" xfId="0" applyNumberFormat="1" applyFont="1" applyFill="1" applyBorder="1" applyAlignment="1">
      <alignment horizontal="center"/>
    </xf>
    <xf numFmtId="3" fontId="1" fillId="10" borderId="0" xfId="0" applyNumberFormat="1" applyFont="1" applyFill="1" applyAlignment="1">
      <alignment horizontal="center"/>
    </xf>
    <xf numFmtId="3" fontId="2" fillId="0" borderId="2" xfId="0" applyNumberFormat="1" applyFont="1" applyBorder="1" applyAlignment="1">
      <alignment horizontal="center"/>
    </xf>
    <xf numFmtId="3" fontId="1" fillId="23" borderId="0" xfId="0" applyNumberFormat="1" applyFont="1" applyFill="1" applyAlignment="1">
      <alignment horizontal="center"/>
    </xf>
    <xf numFmtId="0" fontId="1" fillId="0" borderId="4" xfId="0" applyFont="1" applyBorder="1" applyAlignment="1">
      <alignment horizontal="center"/>
    </xf>
    <xf numFmtId="0" fontId="1" fillId="0" borderId="11" xfId="0" applyFont="1" applyBorder="1" applyAlignment="1">
      <alignment horizontal="center"/>
    </xf>
    <xf numFmtId="0" fontId="1" fillId="0" borderId="1" xfId="0" applyFont="1" applyBorder="1" applyAlignment="1">
      <alignment horizontal="center"/>
    </xf>
    <xf numFmtId="0" fontId="1" fillId="0" borderId="10" xfId="0" applyFont="1" applyBorder="1" applyAlignment="1">
      <alignment horizontal="center"/>
    </xf>
    <xf numFmtId="0" fontId="1" fillId="0" borderId="2" xfId="0" applyFont="1" applyBorder="1" applyAlignment="1">
      <alignment horizontal="center"/>
    </xf>
    <xf numFmtId="0" fontId="1" fillId="0" borderId="12" xfId="0" applyFont="1" applyBorder="1" applyAlignment="1">
      <alignment horizontal="center"/>
    </xf>
    <xf numFmtId="9" fontId="1" fillId="0" borderId="5" xfId="0" applyNumberFormat="1" applyFont="1" applyBorder="1" applyAlignment="1">
      <alignment horizontal="center"/>
    </xf>
    <xf numFmtId="9" fontId="1" fillId="0" borderId="13" xfId="0" applyNumberFormat="1" applyFont="1" applyBorder="1" applyAlignment="1">
      <alignment horizontal="center"/>
    </xf>
    <xf numFmtId="37" fontId="1" fillId="0" borderId="16" xfId="0" applyNumberFormat="1" applyFont="1" applyBorder="1" applyAlignment="1">
      <alignment horizontal="center"/>
    </xf>
    <xf numFmtId="37" fontId="1" fillId="0" borderId="17" xfId="0" applyNumberFormat="1" applyFont="1" applyBorder="1" applyAlignment="1">
      <alignment horizontal="center"/>
    </xf>
    <xf numFmtId="14" fontId="33" fillId="0" borderId="7" xfId="0" applyNumberFormat="1" applyFont="1" applyBorder="1" applyAlignment="1">
      <alignment horizontal="center"/>
    </xf>
    <xf numFmtId="14" fontId="33" fillId="0" borderId="8" xfId="0" applyNumberFormat="1" applyFont="1" applyBorder="1" applyAlignment="1">
      <alignment horizontal="center"/>
    </xf>
    <xf numFmtId="0" fontId="1" fillId="0" borderId="0" xfId="0" applyFont="1" applyAlignment="1">
      <alignment horizontal="right" wrapText="1"/>
    </xf>
    <xf numFmtId="0" fontId="1" fillId="0" borderId="23" xfId="0" applyFont="1" applyBorder="1" applyAlignment="1">
      <alignment horizontal="center"/>
    </xf>
    <xf numFmtId="0" fontId="1" fillId="0" borderId="24" xfId="0" applyFont="1" applyBorder="1" applyAlignment="1">
      <alignment horizontal="center"/>
    </xf>
    <xf numFmtId="0" fontId="1" fillId="0" borderId="25" xfId="0" applyFont="1" applyBorder="1" applyAlignment="1">
      <alignment horizontal="center"/>
    </xf>
    <xf numFmtId="0" fontId="1" fillId="0" borderId="0" xfId="0" applyFont="1" applyAlignment="1">
      <alignment horizontal="center"/>
    </xf>
    <xf numFmtId="14" fontId="33" fillId="0" borderId="22" xfId="0" applyNumberFormat="1" applyFont="1" applyBorder="1" applyAlignment="1">
      <alignment horizontal="center"/>
    </xf>
    <xf numFmtId="0" fontId="33" fillId="0" borderId="22" xfId="0" applyFont="1" applyBorder="1" applyAlignment="1">
      <alignment horizontal="center"/>
    </xf>
    <xf numFmtId="0" fontId="5" fillId="0" borderId="27" xfId="0" applyFont="1" applyBorder="1" applyAlignment="1">
      <alignment horizontal="right" wrapText="1"/>
    </xf>
    <xf numFmtId="0" fontId="5" fillId="0" borderId="0" xfId="0" applyFont="1" applyAlignment="1">
      <alignment horizontal="right" wrapText="1"/>
    </xf>
    <xf numFmtId="0" fontId="5" fillId="0" borderId="28" xfId="0" applyFont="1" applyBorder="1" applyAlignment="1">
      <alignment horizontal="right" wrapText="1"/>
    </xf>
    <xf numFmtId="0" fontId="33" fillId="11" borderId="29" xfId="0" applyFont="1" applyFill="1" applyBorder="1" applyAlignment="1">
      <alignment horizontal="center"/>
    </xf>
    <xf numFmtId="0" fontId="33" fillId="11" borderId="30" xfId="0" applyFont="1" applyFill="1" applyBorder="1" applyAlignment="1">
      <alignment horizontal="center"/>
    </xf>
    <xf numFmtId="0" fontId="33" fillId="6" borderId="29" xfId="0" applyFont="1" applyFill="1" applyBorder="1" applyAlignment="1">
      <alignment horizontal="center"/>
    </xf>
    <xf numFmtId="0" fontId="33" fillId="6" borderId="30" xfId="0" applyFont="1" applyFill="1" applyBorder="1" applyAlignment="1">
      <alignment horizontal="center"/>
    </xf>
    <xf numFmtId="0" fontId="1" fillId="0" borderId="0" xfId="0" applyFont="1" applyAlignment="1">
      <alignment horizontal="center" vertical="center"/>
    </xf>
    <xf numFmtId="3" fontId="1" fillId="0" borderId="1" xfId="0" applyNumberFormat="1" applyFont="1" applyBorder="1" applyAlignment="1">
      <alignment horizontal="center"/>
    </xf>
    <xf numFmtId="3" fontId="1" fillId="0" borderId="4" xfId="0" applyNumberFormat="1" applyFont="1" applyBorder="1" applyAlignment="1">
      <alignment horizontal="center"/>
    </xf>
    <xf numFmtId="165" fontId="0" fillId="3" borderId="0" xfId="0" applyNumberFormat="1" applyFill="1"/>
  </cellXfs>
  <cellStyles count="5">
    <cellStyle name="Comma" xfId="4" builtinId="3"/>
    <cellStyle name="Comma [0]" xfId="2" builtinId="6"/>
    <cellStyle name="Normal" xfId="0" builtinId="0"/>
    <cellStyle name="Percent" xfId="1" builtinId="5"/>
    <cellStyle name="Title" xfId="3" builtinId="15"/>
  </cellStyles>
  <dxfs count="0"/>
  <tableStyles count="0" defaultTableStyle="TableStyleMedium2" defaultPivotStyle="PivotStyleLight16"/>
  <colors>
    <mruColors>
      <color rgb="FF00FA00"/>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8.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jpe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3</xdr:col>
      <xdr:colOff>816428</xdr:colOff>
      <xdr:row>123</xdr:row>
      <xdr:rowOff>108160</xdr:rowOff>
    </xdr:from>
    <xdr:to>
      <xdr:col>5</xdr:col>
      <xdr:colOff>24423</xdr:colOff>
      <xdr:row>123</xdr:row>
      <xdr:rowOff>108160</xdr:rowOff>
    </xdr:to>
    <xdr:cxnSp macro="">
      <xdr:nvCxnSpPr>
        <xdr:cNvPr id="3" name="Straight Arrow Connector 2">
          <a:extLst>
            <a:ext uri="{FF2B5EF4-FFF2-40B4-BE49-F238E27FC236}">
              <a16:creationId xmlns:a16="http://schemas.microsoft.com/office/drawing/2014/main" id="{8FC758A6-24A1-11E2-9A67-B1E7533181F0}"/>
            </a:ext>
          </a:extLst>
        </xdr:cNvPr>
        <xdr:cNvCxnSpPr/>
      </xdr:nvCxnSpPr>
      <xdr:spPr>
        <a:xfrm flipH="1">
          <a:off x="13543698681" y="23379863"/>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805961</xdr:colOff>
      <xdr:row>123</xdr:row>
      <xdr:rowOff>115138</xdr:rowOff>
    </xdr:from>
    <xdr:to>
      <xdr:col>7</xdr:col>
      <xdr:colOff>13956</xdr:colOff>
      <xdr:row>123</xdr:row>
      <xdr:rowOff>115138</xdr:rowOff>
    </xdr:to>
    <xdr:cxnSp macro="">
      <xdr:nvCxnSpPr>
        <xdr:cNvPr id="4" name="Straight Arrow Connector 3">
          <a:extLst>
            <a:ext uri="{FF2B5EF4-FFF2-40B4-BE49-F238E27FC236}">
              <a16:creationId xmlns:a16="http://schemas.microsoft.com/office/drawing/2014/main" id="{71938021-656C-5944-CB0D-48D7B58C2C54}"/>
            </a:ext>
          </a:extLst>
        </xdr:cNvPr>
        <xdr:cNvCxnSpPr/>
      </xdr:nvCxnSpPr>
      <xdr:spPr>
        <a:xfrm flipH="1">
          <a:off x="13542055357" y="23386841"/>
          <a:ext cx="861786"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397747</xdr:colOff>
      <xdr:row>126</xdr:row>
      <xdr:rowOff>34890</xdr:rowOff>
    </xdr:from>
    <xdr:to>
      <xdr:col>3</xdr:col>
      <xdr:colOff>408214</xdr:colOff>
      <xdr:row>130</xdr:row>
      <xdr:rowOff>108159</xdr:rowOff>
    </xdr:to>
    <xdr:cxnSp macro="">
      <xdr:nvCxnSpPr>
        <xdr:cNvPr id="6" name="Straight Connector 5">
          <a:extLst>
            <a:ext uri="{FF2B5EF4-FFF2-40B4-BE49-F238E27FC236}">
              <a16:creationId xmlns:a16="http://schemas.microsoft.com/office/drawing/2014/main" id="{CAB5F854-28A5-493C-100D-FD5BD934ADC1}"/>
            </a:ext>
          </a:extLst>
        </xdr:cNvPr>
        <xdr:cNvCxnSpPr/>
      </xdr:nvCxnSpPr>
      <xdr:spPr>
        <a:xfrm>
          <a:off x="13544968681"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394258</xdr:colOff>
      <xdr:row>126</xdr:row>
      <xdr:rowOff>41868</xdr:rowOff>
    </xdr:from>
    <xdr:to>
      <xdr:col>5</xdr:col>
      <xdr:colOff>404725</xdr:colOff>
      <xdr:row>130</xdr:row>
      <xdr:rowOff>115137</xdr:rowOff>
    </xdr:to>
    <xdr:cxnSp macro="">
      <xdr:nvCxnSpPr>
        <xdr:cNvPr id="7" name="Straight Connector 6">
          <a:extLst>
            <a:ext uri="{FF2B5EF4-FFF2-40B4-BE49-F238E27FC236}">
              <a16:creationId xmlns:a16="http://schemas.microsoft.com/office/drawing/2014/main" id="{98665157-43C6-9C2E-47A7-E09443083C8B}"/>
            </a:ext>
          </a:extLst>
        </xdr:cNvPr>
        <xdr:cNvCxnSpPr/>
      </xdr:nvCxnSpPr>
      <xdr:spPr>
        <a:xfrm>
          <a:off x="13543318379" y="23920659"/>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404725</xdr:colOff>
      <xdr:row>130</xdr:row>
      <xdr:rowOff>94203</xdr:rowOff>
    </xdr:from>
    <xdr:to>
      <xdr:col>5</xdr:col>
      <xdr:colOff>401236</xdr:colOff>
      <xdr:row>130</xdr:row>
      <xdr:rowOff>111648</xdr:rowOff>
    </xdr:to>
    <xdr:cxnSp macro="">
      <xdr:nvCxnSpPr>
        <xdr:cNvPr id="8" name="Straight Connector 7">
          <a:extLst>
            <a:ext uri="{FF2B5EF4-FFF2-40B4-BE49-F238E27FC236}">
              <a16:creationId xmlns:a16="http://schemas.microsoft.com/office/drawing/2014/main" id="{C55D5118-C127-874C-9ED1-BABC47408B8E}"/>
            </a:ext>
          </a:extLst>
        </xdr:cNvPr>
        <xdr:cNvCxnSpPr/>
      </xdr:nvCxnSpPr>
      <xdr:spPr>
        <a:xfrm>
          <a:off x="13543321868"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512884</xdr:colOff>
      <xdr:row>126</xdr:row>
      <xdr:rowOff>34890</xdr:rowOff>
    </xdr:from>
    <xdr:to>
      <xdr:col>5</xdr:col>
      <xdr:colOff>523351</xdr:colOff>
      <xdr:row>130</xdr:row>
      <xdr:rowOff>108159</xdr:rowOff>
    </xdr:to>
    <xdr:cxnSp macro="">
      <xdr:nvCxnSpPr>
        <xdr:cNvPr id="11" name="Straight Connector 10">
          <a:extLst>
            <a:ext uri="{FF2B5EF4-FFF2-40B4-BE49-F238E27FC236}">
              <a16:creationId xmlns:a16="http://schemas.microsoft.com/office/drawing/2014/main" id="{597C522D-D217-4311-B530-4E8387252E45}"/>
            </a:ext>
          </a:extLst>
        </xdr:cNvPr>
        <xdr:cNvCxnSpPr/>
      </xdr:nvCxnSpPr>
      <xdr:spPr>
        <a:xfrm>
          <a:off x="13543199753" y="23913681"/>
          <a:ext cx="10467" cy="882720"/>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505906</xdr:colOff>
      <xdr:row>130</xdr:row>
      <xdr:rowOff>94203</xdr:rowOff>
    </xdr:from>
    <xdr:to>
      <xdr:col>7</xdr:col>
      <xdr:colOff>502417</xdr:colOff>
      <xdr:row>130</xdr:row>
      <xdr:rowOff>111648</xdr:rowOff>
    </xdr:to>
    <xdr:cxnSp macro="">
      <xdr:nvCxnSpPr>
        <xdr:cNvPr id="12" name="Straight Connector 11">
          <a:extLst>
            <a:ext uri="{FF2B5EF4-FFF2-40B4-BE49-F238E27FC236}">
              <a16:creationId xmlns:a16="http://schemas.microsoft.com/office/drawing/2014/main" id="{478FC49C-7522-BCD2-C2ED-DEAEC2256E84}"/>
            </a:ext>
          </a:extLst>
        </xdr:cNvPr>
        <xdr:cNvCxnSpPr/>
      </xdr:nvCxnSpPr>
      <xdr:spPr>
        <a:xfrm>
          <a:off x="13541566896" y="24782445"/>
          <a:ext cx="1650302" cy="1744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450082</xdr:colOff>
      <xdr:row>126</xdr:row>
      <xdr:rowOff>27912</xdr:rowOff>
    </xdr:from>
    <xdr:to>
      <xdr:col>7</xdr:col>
      <xdr:colOff>464038</xdr:colOff>
      <xdr:row>130</xdr:row>
      <xdr:rowOff>104670</xdr:rowOff>
    </xdr:to>
    <xdr:cxnSp macro="">
      <xdr:nvCxnSpPr>
        <xdr:cNvPr id="13" name="Straight Connector 12">
          <a:extLst>
            <a:ext uri="{FF2B5EF4-FFF2-40B4-BE49-F238E27FC236}">
              <a16:creationId xmlns:a16="http://schemas.microsoft.com/office/drawing/2014/main" id="{50B5A4A4-5D3C-CFDA-BB10-8220F416C441}"/>
            </a:ext>
          </a:extLst>
        </xdr:cNvPr>
        <xdr:cNvCxnSpPr/>
      </xdr:nvCxnSpPr>
      <xdr:spPr>
        <a:xfrm flipH="1">
          <a:off x="13541605275" y="23906703"/>
          <a:ext cx="13956" cy="886209"/>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1872</xdr:colOff>
      <xdr:row>166</xdr:row>
      <xdr:rowOff>52279</xdr:rowOff>
    </xdr:from>
    <xdr:to>
      <xdr:col>10</xdr:col>
      <xdr:colOff>370250</xdr:colOff>
      <xdr:row>172</xdr:row>
      <xdr:rowOff>176388</xdr:rowOff>
    </xdr:to>
    <xdr:pic>
      <xdr:nvPicPr>
        <xdr:cNvPr id="15" name="Picture 14" descr="GOKI סנדוויץ' לאפה - פיתה וירקות 51515 | צעצועים | צעצועים ומשחקים | מרמלדה  מרקט">
          <a:extLst>
            <a:ext uri="{FF2B5EF4-FFF2-40B4-BE49-F238E27FC236}">
              <a16:creationId xmlns:a16="http://schemas.microsoft.com/office/drawing/2014/main" id="{F3CE4A7A-95E1-8681-1F21-6A7EEE397E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6366750" y="33100501"/>
          <a:ext cx="2019378" cy="1351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159236</xdr:colOff>
      <xdr:row>245</xdr:row>
      <xdr:rowOff>81559</xdr:rowOff>
    </xdr:from>
    <xdr:to>
      <xdr:col>3</xdr:col>
      <xdr:colOff>722385</xdr:colOff>
      <xdr:row>248</xdr:row>
      <xdr:rowOff>93211</xdr:rowOff>
    </xdr:to>
    <xdr:cxnSp macro="">
      <xdr:nvCxnSpPr>
        <xdr:cNvPr id="17" name="Straight Connector 16">
          <a:extLst>
            <a:ext uri="{FF2B5EF4-FFF2-40B4-BE49-F238E27FC236}">
              <a16:creationId xmlns:a16="http://schemas.microsoft.com/office/drawing/2014/main" id="{1D5D93D1-592E-EBDB-7691-41A5CE6E6683}"/>
            </a:ext>
          </a:extLst>
        </xdr:cNvPr>
        <xdr:cNvCxnSpPr/>
      </xdr:nvCxnSpPr>
      <xdr:spPr>
        <a:xfrm flipH="1">
          <a:off x="13550422294" y="40876911"/>
          <a:ext cx="563149" cy="61752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66024</xdr:colOff>
      <xdr:row>245</xdr:row>
      <xdr:rowOff>42721</xdr:rowOff>
    </xdr:from>
    <xdr:to>
      <xdr:col>5</xdr:col>
      <xdr:colOff>151468</xdr:colOff>
      <xdr:row>248</xdr:row>
      <xdr:rowOff>100979</xdr:rowOff>
    </xdr:to>
    <xdr:cxnSp macro="">
      <xdr:nvCxnSpPr>
        <xdr:cNvPr id="18" name="Straight Connector 17">
          <a:extLst>
            <a:ext uri="{FF2B5EF4-FFF2-40B4-BE49-F238E27FC236}">
              <a16:creationId xmlns:a16="http://schemas.microsoft.com/office/drawing/2014/main" id="{0F1742E4-11DB-D90F-276A-3D9A95EC6D51}"/>
            </a:ext>
          </a:extLst>
        </xdr:cNvPr>
        <xdr:cNvCxnSpPr/>
      </xdr:nvCxnSpPr>
      <xdr:spPr>
        <a:xfrm>
          <a:off x="13549338715" y="40838073"/>
          <a:ext cx="912692" cy="6641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532694</xdr:colOff>
      <xdr:row>197</xdr:row>
      <xdr:rowOff>123472</xdr:rowOff>
    </xdr:from>
    <xdr:to>
      <xdr:col>3</xdr:col>
      <xdr:colOff>190500</xdr:colOff>
      <xdr:row>197</xdr:row>
      <xdr:rowOff>130528</xdr:rowOff>
    </xdr:to>
    <xdr:cxnSp macro="">
      <xdr:nvCxnSpPr>
        <xdr:cNvPr id="5" name="Straight Arrow Connector 4">
          <a:extLst>
            <a:ext uri="{FF2B5EF4-FFF2-40B4-BE49-F238E27FC236}">
              <a16:creationId xmlns:a16="http://schemas.microsoft.com/office/drawing/2014/main" id="{D893F6AA-698A-DD48-EAE7-58E71FB9EF3E}"/>
            </a:ext>
          </a:extLst>
        </xdr:cNvPr>
        <xdr:cNvCxnSpPr/>
      </xdr:nvCxnSpPr>
      <xdr:spPr>
        <a:xfrm>
          <a:off x="13522325000" y="3644547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197</xdr:row>
      <xdr:rowOff>105833</xdr:rowOff>
    </xdr:from>
    <xdr:to>
      <xdr:col>4</xdr:col>
      <xdr:colOff>229306</xdr:colOff>
      <xdr:row>197</xdr:row>
      <xdr:rowOff>112889</xdr:rowOff>
    </xdr:to>
    <xdr:cxnSp macro="">
      <xdr:nvCxnSpPr>
        <xdr:cNvPr id="9" name="Straight Arrow Connector 8">
          <a:extLst>
            <a:ext uri="{FF2B5EF4-FFF2-40B4-BE49-F238E27FC236}">
              <a16:creationId xmlns:a16="http://schemas.microsoft.com/office/drawing/2014/main" id="{483ED6DF-E3E3-0F1C-09AE-AA0818185172}"/>
            </a:ext>
          </a:extLst>
        </xdr:cNvPr>
        <xdr:cNvCxnSpPr/>
      </xdr:nvCxnSpPr>
      <xdr:spPr>
        <a:xfrm>
          <a:off x="13521460694" y="36427833"/>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585611</xdr:colOff>
      <xdr:row>197</xdr:row>
      <xdr:rowOff>98777</xdr:rowOff>
    </xdr:from>
    <xdr:to>
      <xdr:col>5</xdr:col>
      <xdr:colOff>243417</xdr:colOff>
      <xdr:row>197</xdr:row>
      <xdr:rowOff>105833</xdr:rowOff>
    </xdr:to>
    <xdr:cxnSp macro="">
      <xdr:nvCxnSpPr>
        <xdr:cNvPr id="10" name="Straight Arrow Connector 9">
          <a:extLst>
            <a:ext uri="{FF2B5EF4-FFF2-40B4-BE49-F238E27FC236}">
              <a16:creationId xmlns:a16="http://schemas.microsoft.com/office/drawing/2014/main" id="{B392174D-E8AF-7B64-C76F-E09D151074C9}"/>
            </a:ext>
          </a:extLst>
        </xdr:cNvPr>
        <xdr:cNvCxnSpPr/>
      </xdr:nvCxnSpPr>
      <xdr:spPr>
        <a:xfrm>
          <a:off x="13520621083" y="36420777"/>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582083</xdr:colOff>
      <xdr:row>197</xdr:row>
      <xdr:rowOff>109361</xdr:rowOff>
    </xdr:from>
    <xdr:to>
      <xdr:col>6</xdr:col>
      <xdr:colOff>239889</xdr:colOff>
      <xdr:row>197</xdr:row>
      <xdr:rowOff>116417</xdr:rowOff>
    </xdr:to>
    <xdr:cxnSp macro="">
      <xdr:nvCxnSpPr>
        <xdr:cNvPr id="14" name="Straight Arrow Connector 13">
          <a:extLst>
            <a:ext uri="{FF2B5EF4-FFF2-40B4-BE49-F238E27FC236}">
              <a16:creationId xmlns:a16="http://schemas.microsoft.com/office/drawing/2014/main" id="{57442A70-EEF4-A6A1-108B-F0F3092E8686}"/>
            </a:ext>
          </a:extLst>
        </xdr:cNvPr>
        <xdr:cNvCxnSpPr/>
      </xdr:nvCxnSpPr>
      <xdr:spPr>
        <a:xfrm>
          <a:off x="13519799111" y="36431361"/>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599723</xdr:colOff>
      <xdr:row>196</xdr:row>
      <xdr:rowOff>160161</xdr:rowOff>
    </xdr:from>
    <xdr:ext cx="363127"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F8E4E404-252C-49EF-E889-F41F0BF98420}"/>
                </a:ext>
              </a:extLst>
            </xdr:cNvPr>
            <xdr:cNvSpPr txBox="1"/>
          </xdr:nvSpPr>
          <xdr:spPr>
            <a:xfrm>
              <a:off x="13522378150" y="36277550"/>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642057</xdr:colOff>
      <xdr:row>196</xdr:row>
      <xdr:rowOff>138994</xdr:rowOff>
    </xdr:from>
    <xdr:ext cx="363127"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0AA9A871-83EC-D192-B402-DA2F9A76CA2E}"/>
                </a:ext>
              </a:extLst>
            </xdr:cNvPr>
            <xdr:cNvSpPr txBox="1"/>
          </xdr:nvSpPr>
          <xdr:spPr>
            <a:xfrm>
              <a:off x="13521510316" y="36256383"/>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627946</xdr:colOff>
      <xdr:row>196</xdr:row>
      <xdr:rowOff>124882</xdr:rowOff>
    </xdr:from>
    <xdr:ext cx="363127"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C023ADE-D3C1-A7F8-5715-A29B28D75FBE}"/>
                </a:ext>
              </a:extLst>
            </xdr:cNvPr>
            <xdr:cNvSpPr txBox="1"/>
          </xdr:nvSpPr>
          <xdr:spPr>
            <a:xfrm>
              <a:off x="13520698927" y="36242271"/>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620890</xdr:colOff>
      <xdr:row>196</xdr:row>
      <xdr:rowOff>131938</xdr:rowOff>
    </xdr:from>
    <xdr:ext cx="36312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935B2D9-FC4A-F5E3-8E3D-76B7F1E6606A}"/>
                </a:ext>
              </a:extLst>
            </xdr:cNvPr>
            <xdr:cNvSpPr txBox="1"/>
          </xdr:nvSpPr>
          <xdr:spPr>
            <a:xfrm>
              <a:off x="13519880483" y="36249327"/>
              <a:ext cx="3631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endParaRPr lang="en-US" sz="1100"/>
            </a:p>
          </xdr:txBody>
        </xdr:sp>
      </mc:Fallback>
    </mc:AlternateContent>
    <xdr:clientData/>
  </xdr:oneCellAnchor>
  <xdr:twoCellAnchor>
    <xdr:from>
      <xdr:col>8</xdr:col>
      <xdr:colOff>694971</xdr:colOff>
      <xdr:row>198</xdr:row>
      <xdr:rowOff>95251</xdr:rowOff>
    </xdr:from>
    <xdr:to>
      <xdr:col>9</xdr:col>
      <xdr:colOff>352777</xdr:colOff>
      <xdr:row>198</xdr:row>
      <xdr:rowOff>102307</xdr:rowOff>
    </xdr:to>
    <xdr:cxnSp macro="">
      <xdr:nvCxnSpPr>
        <xdr:cNvPr id="22" name="Straight Arrow Connector 21">
          <a:extLst>
            <a:ext uri="{FF2B5EF4-FFF2-40B4-BE49-F238E27FC236}">
              <a16:creationId xmlns:a16="http://schemas.microsoft.com/office/drawing/2014/main" id="{522D88C5-2E6C-D237-DD77-A2E553C6E37B}"/>
            </a:ext>
          </a:extLst>
        </xdr:cNvPr>
        <xdr:cNvCxnSpPr/>
      </xdr:nvCxnSpPr>
      <xdr:spPr>
        <a:xfrm>
          <a:off x="13517209723" y="36621862"/>
          <a:ext cx="483306" cy="705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405691</xdr:colOff>
      <xdr:row>199</xdr:row>
      <xdr:rowOff>178153</xdr:rowOff>
    </xdr:from>
    <xdr:to>
      <xdr:col>3</xdr:col>
      <xdr:colOff>393345</xdr:colOff>
      <xdr:row>201</xdr:row>
      <xdr:rowOff>56444</xdr:rowOff>
    </xdr:to>
    <xdr:sp macro="" textlink="">
      <xdr:nvSpPr>
        <xdr:cNvPr id="23" name="Left Brace 22">
          <a:extLst>
            <a:ext uri="{FF2B5EF4-FFF2-40B4-BE49-F238E27FC236}">
              <a16:creationId xmlns:a16="http://schemas.microsoft.com/office/drawing/2014/main" id="{B9A1500F-F37C-EA89-2B6F-B5CF2AFA6629}"/>
            </a:ext>
          </a:extLst>
        </xdr:cNvPr>
        <xdr:cNvSpPr/>
      </xdr:nvSpPr>
      <xdr:spPr>
        <a:xfrm rot="16200000">
          <a:off x="13522384975" y="36646555"/>
          <a:ext cx="287513" cy="813154"/>
        </a:xfrm>
        <a:prstGeom prst="leftBrace">
          <a:avLst>
            <a:gd name="adj1" fmla="val 8333"/>
            <a:gd name="adj2" fmla="val 8355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486829</xdr:colOff>
      <xdr:row>199</xdr:row>
      <xdr:rowOff>185209</xdr:rowOff>
    </xdr:from>
    <xdr:to>
      <xdr:col>4</xdr:col>
      <xdr:colOff>474483</xdr:colOff>
      <xdr:row>201</xdr:row>
      <xdr:rowOff>63500</xdr:rowOff>
    </xdr:to>
    <xdr:sp macro="" textlink="">
      <xdr:nvSpPr>
        <xdr:cNvPr id="25" name="Left Brace 24">
          <a:extLst>
            <a:ext uri="{FF2B5EF4-FFF2-40B4-BE49-F238E27FC236}">
              <a16:creationId xmlns:a16="http://schemas.microsoft.com/office/drawing/2014/main" id="{A10C3FDC-A0AA-B748-BB77-F63669B61B69}"/>
            </a:ext>
          </a:extLst>
        </xdr:cNvPr>
        <xdr:cNvSpPr/>
      </xdr:nvSpPr>
      <xdr:spPr>
        <a:xfrm rot="16200000">
          <a:off x="13521478337" y="36653611"/>
          <a:ext cx="287513" cy="813154"/>
        </a:xfrm>
        <a:prstGeom prst="leftBrace">
          <a:avLst>
            <a:gd name="adj1" fmla="val 8333"/>
            <a:gd name="adj2" fmla="val 50148"/>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504467</xdr:colOff>
      <xdr:row>199</xdr:row>
      <xdr:rowOff>192264</xdr:rowOff>
    </xdr:from>
    <xdr:to>
      <xdr:col>5</xdr:col>
      <xdr:colOff>492121</xdr:colOff>
      <xdr:row>201</xdr:row>
      <xdr:rowOff>70555</xdr:rowOff>
    </xdr:to>
    <xdr:sp macro="" textlink="">
      <xdr:nvSpPr>
        <xdr:cNvPr id="26" name="Left Brace 25">
          <a:extLst>
            <a:ext uri="{FF2B5EF4-FFF2-40B4-BE49-F238E27FC236}">
              <a16:creationId xmlns:a16="http://schemas.microsoft.com/office/drawing/2014/main" id="{E8227833-BA89-80D8-5675-260EBE9A9704}"/>
            </a:ext>
          </a:extLst>
        </xdr:cNvPr>
        <xdr:cNvSpPr/>
      </xdr:nvSpPr>
      <xdr:spPr>
        <a:xfrm rot="16200000">
          <a:off x="13520635199" y="36660666"/>
          <a:ext cx="287513" cy="81315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529161</xdr:colOff>
      <xdr:row>200</xdr:row>
      <xdr:rowOff>1765</xdr:rowOff>
    </xdr:from>
    <xdr:to>
      <xdr:col>6</xdr:col>
      <xdr:colOff>479775</xdr:colOff>
      <xdr:row>201</xdr:row>
      <xdr:rowOff>74084</xdr:rowOff>
    </xdr:to>
    <xdr:sp macro="" textlink="">
      <xdr:nvSpPr>
        <xdr:cNvPr id="27" name="Left Brace 26">
          <a:extLst>
            <a:ext uri="{FF2B5EF4-FFF2-40B4-BE49-F238E27FC236}">
              <a16:creationId xmlns:a16="http://schemas.microsoft.com/office/drawing/2014/main" id="{2CCD0264-23EA-2DF2-6203-7C78C23D4654}"/>
            </a:ext>
          </a:extLst>
        </xdr:cNvPr>
        <xdr:cNvSpPr/>
      </xdr:nvSpPr>
      <xdr:spPr>
        <a:xfrm rot="16200000">
          <a:off x="13519808817" y="36688006"/>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719661</xdr:colOff>
      <xdr:row>203</xdr:row>
      <xdr:rowOff>12348</xdr:rowOff>
    </xdr:from>
    <xdr:to>
      <xdr:col>9</xdr:col>
      <xdr:colOff>670275</xdr:colOff>
      <xdr:row>204</xdr:row>
      <xdr:rowOff>84667</xdr:rowOff>
    </xdr:to>
    <xdr:sp macro="" textlink="">
      <xdr:nvSpPr>
        <xdr:cNvPr id="29" name="Left Brace 28">
          <a:extLst>
            <a:ext uri="{FF2B5EF4-FFF2-40B4-BE49-F238E27FC236}">
              <a16:creationId xmlns:a16="http://schemas.microsoft.com/office/drawing/2014/main" id="{4F888292-710E-874E-C94F-B97D65E6E57A}"/>
            </a:ext>
          </a:extLst>
        </xdr:cNvPr>
        <xdr:cNvSpPr/>
      </xdr:nvSpPr>
      <xdr:spPr>
        <a:xfrm rot="16200000">
          <a:off x="13517141817" y="37312423"/>
          <a:ext cx="276930" cy="776114"/>
        </a:xfrm>
        <a:prstGeom prst="leftBrace">
          <a:avLst>
            <a:gd name="adj1" fmla="val 8333"/>
            <a:gd name="adj2" fmla="val 12404"/>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627944</xdr:colOff>
      <xdr:row>223</xdr:row>
      <xdr:rowOff>158749</xdr:rowOff>
    </xdr:from>
    <xdr:to>
      <xdr:col>6</xdr:col>
      <xdr:colOff>765527</xdr:colOff>
      <xdr:row>230</xdr:row>
      <xdr:rowOff>28222</xdr:rowOff>
    </xdr:to>
    <xdr:sp macro="" textlink="">
      <xdr:nvSpPr>
        <xdr:cNvPr id="30" name="Left Brace 29">
          <a:extLst>
            <a:ext uri="{FF2B5EF4-FFF2-40B4-BE49-F238E27FC236}">
              <a16:creationId xmlns:a16="http://schemas.microsoft.com/office/drawing/2014/main" id="{8DE47B25-4D4F-5397-D8C5-507B6774FE2F}"/>
            </a:ext>
          </a:extLst>
        </xdr:cNvPr>
        <xdr:cNvSpPr/>
      </xdr:nvSpPr>
      <xdr:spPr>
        <a:xfrm>
          <a:off x="13519273473" y="44869805"/>
          <a:ext cx="137583" cy="130175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571499</xdr:colOff>
      <xdr:row>231</xdr:row>
      <xdr:rowOff>98778</xdr:rowOff>
    </xdr:from>
    <xdr:to>
      <xdr:col>6</xdr:col>
      <xdr:colOff>818444</xdr:colOff>
      <xdr:row>231</xdr:row>
      <xdr:rowOff>105833</xdr:rowOff>
    </xdr:to>
    <xdr:cxnSp macro="">
      <xdr:nvCxnSpPr>
        <xdr:cNvPr id="32" name="Straight Arrow Connector 31">
          <a:extLst>
            <a:ext uri="{FF2B5EF4-FFF2-40B4-BE49-F238E27FC236}">
              <a16:creationId xmlns:a16="http://schemas.microsoft.com/office/drawing/2014/main" id="{4462533B-279F-3976-94EC-686E576D1616}"/>
            </a:ext>
          </a:extLst>
        </xdr:cNvPr>
        <xdr:cNvCxnSpPr/>
      </xdr:nvCxnSpPr>
      <xdr:spPr>
        <a:xfrm flipH="1" flipV="1">
          <a:off x="13519220556" y="46446722"/>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571499</xdr:colOff>
      <xdr:row>232</xdr:row>
      <xdr:rowOff>112888</xdr:rowOff>
    </xdr:from>
    <xdr:to>
      <xdr:col>6</xdr:col>
      <xdr:colOff>818444</xdr:colOff>
      <xdr:row>232</xdr:row>
      <xdr:rowOff>119943</xdr:rowOff>
    </xdr:to>
    <xdr:cxnSp macro="">
      <xdr:nvCxnSpPr>
        <xdr:cNvPr id="33" name="Straight Arrow Connector 32">
          <a:extLst>
            <a:ext uri="{FF2B5EF4-FFF2-40B4-BE49-F238E27FC236}">
              <a16:creationId xmlns:a16="http://schemas.microsoft.com/office/drawing/2014/main" id="{976FBFE7-9BD3-B371-38D6-CF0C38821503}"/>
            </a:ext>
          </a:extLst>
        </xdr:cNvPr>
        <xdr:cNvCxnSpPr/>
      </xdr:nvCxnSpPr>
      <xdr:spPr>
        <a:xfrm flipH="1" flipV="1">
          <a:off x="13519220556" y="46665444"/>
          <a:ext cx="246945"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164877</xdr:colOff>
      <xdr:row>232</xdr:row>
      <xdr:rowOff>155964</xdr:rowOff>
    </xdr:from>
    <xdr:to>
      <xdr:col>6</xdr:col>
      <xdr:colOff>236175</xdr:colOff>
      <xdr:row>233</xdr:row>
      <xdr:rowOff>84667</xdr:rowOff>
    </xdr:to>
    <xdr:sp macro="" textlink="">
      <xdr:nvSpPr>
        <xdr:cNvPr id="34" name="Down Arrow 33">
          <a:extLst>
            <a:ext uri="{FF2B5EF4-FFF2-40B4-BE49-F238E27FC236}">
              <a16:creationId xmlns:a16="http://schemas.microsoft.com/office/drawing/2014/main" id="{8A7CE1E4-0ABE-7273-7708-087965621D82}"/>
            </a:ext>
          </a:extLst>
        </xdr:cNvPr>
        <xdr:cNvSpPr/>
      </xdr:nvSpPr>
      <xdr:spPr>
        <a:xfrm>
          <a:off x="13501557158" y="46785017"/>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142596</xdr:colOff>
      <xdr:row>232</xdr:row>
      <xdr:rowOff>164876</xdr:rowOff>
    </xdr:from>
    <xdr:to>
      <xdr:col>5</xdr:col>
      <xdr:colOff>213894</xdr:colOff>
      <xdr:row>233</xdr:row>
      <xdr:rowOff>93579</xdr:rowOff>
    </xdr:to>
    <xdr:sp macro="" textlink="">
      <xdr:nvSpPr>
        <xdr:cNvPr id="35" name="Down Arrow 34">
          <a:extLst>
            <a:ext uri="{FF2B5EF4-FFF2-40B4-BE49-F238E27FC236}">
              <a16:creationId xmlns:a16="http://schemas.microsoft.com/office/drawing/2014/main" id="{91536511-ACD2-EC4C-B8A0-0C12F864D4CD}"/>
            </a:ext>
          </a:extLst>
        </xdr:cNvPr>
        <xdr:cNvSpPr/>
      </xdr:nvSpPr>
      <xdr:spPr>
        <a:xfrm>
          <a:off x="13502403825" y="46793929"/>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147052</xdr:colOff>
      <xdr:row>232</xdr:row>
      <xdr:rowOff>147052</xdr:rowOff>
    </xdr:from>
    <xdr:to>
      <xdr:col>4</xdr:col>
      <xdr:colOff>218350</xdr:colOff>
      <xdr:row>233</xdr:row>
      <xdr:rowOff>75755</xdr:rowOff>
    </xdr:to>
    <xdr:sp macro="" textlink="">
      <xdr:nvSpPr>
        <xdr:cNvPr id="36" name="Down Arrow 35">
          <a:extLst>
            <a:ext uri="{FF2B5EF4-FFF2-40B4-BE49-F238E27FC236}">
              <a16:creationId xmlns:a16="http://schemas.microsoft.com/office/drawing/2014/main" id="{FC616A41-EA96-C348-A0DA-FFFF07F6FAED}"/>
            </a:ext>
          </a:extLst>
        </xdr:cNvPr>
        <xdr:cNvSpPr/>
      </xdr:nvSpPr>
      <xdr:spPr>
        <a:xfrm>
          <a:off x="13503223755" y="46776105"/>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98034</xdr:colOff>
      <xdr:row>232</xdr:row>
      <xdr:rowOff>151508</xdr:rowOff>
    </xdr:from>
    <xdr:to>
      <xdr:col>3</xdr:col>
      <xdr:colOff>169332</xdr:colOff>
      <xdr:row>233</xdr:row>
      <xdr:rowOff>80211</xdr:rowOff>
    </xdr:to>
    <xdr:sp macro="" textlink="">
      <xdr:nvSpPr>
        <xdr:cNvPr id="37" name="Down Arrow 36">
          <a:extLst>
            <a:ext uri="{FF2B5EF4-FFF2-40B4-BE49-F238E27FC236}">
              <a16:creationId xmlns:a16="http://schemas.microsoft.com/office/drawing/2014/main" id="{DB5A9AF7-6BD4-4540-BBF9-475E05853B33}"/>
            </a:ext>
          </a:extLst>
        </xdr:cNvPr>
        <xdr:cNvSpPr/>
      </xdr:nvSpPr>
      <xdr:spPr>
        <a:xfrm>
          <a:off x="13504097159" y="46780561"/>
          <a:ext cx="71298" cy="14259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116159</xdr:colOff>
      <xdr:row>2</xdr:row>
      <xdr:rowOff>30975</xdr:rowOff>
    </xdr:from>
    <xdr:to>
      <xdr:col>7</xdr:col>
      <xdr:colOff>580793</xdr:colOff>
      <xdr:row>63</xdr:row>
      <xdr:rowOff>31951</xdr:rowOff>
    </xdr:to>
    <xdr:sp macro="" textlink="">
      <xdr:nvSpPr>
        <xdr:cNvPr id="2" name="TextBox 1">
          <a:extLst>
            <a:ext uri="{FF2B5EF4-FFF2-40B4-BE49-F238E27FC236}">
              <a16:creationId xmlns:a16="http://schemas.microsoft.com/office/drawing/2014/main" id="{25F35D58-E8F0-7AF1-25D7-B0152B6D94C5}"/>
            </a:ext>
          </a:extLst>
        </xdr:cNvPr>
        <xdr:cNvSpPr txBox="1"/>
      </xdr:nvSpPr>
      <xdr:spPr>
        <a:xfrm>
          <a:off x="13538254207" y="438333"/>
          <a:ext cx="6251521" cy="1242541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a:t>מושגי יסוד</a:t>
          </a:r>
        </a:p>
        <a:p>
          <a:pPr algn="r" rtl="1"/>
          <a:endParaRPr lang="he-IL" sz="1100"/>
        </a:p>
        <a:p>
          <a:pPr algn="r" rtl="1"/>
          <a:r>
            <a:rPr lang="he-IL" b="1">
              <a:solidFill>
                <a:srgbClr val="FF0000"/>
              </a:solidFill>
            </a:rPr>
            <a:t>חכירה</a:t>
          </a:r>
          <a:r>
            <a:rPr lang="he-IL"/>
            <a:t> היא</a:t>
          </a:r>
          <a:r>
            <a:rPr lang="he-IL" baseline="0"/>
            <a:t> </a:t>
          </a:r>
          <a:r>
            <a:rPr lang="he-IL" b="1" baseline="0">
              <a:solidFill>
                <a:srgbClr val="0070C0"/>
              </a:solidFill>
            </a:rPr>
            <a:t>חוזה</a:t>
          </a:r>
          <a:r>
            <a:rPr lang="he-IL" baseline="0"/>
            <a:t> </a:t>
          </a:r>
          <a:r>
            <a:rPr lang="he-IL"/>
            <a:t>שמעביר את </a:t>
          </a:r>
          <a:r>
            <a:rPr lang="he-IL" u="sng"/>
            <a:t>הזכות להשתמש בנכס</a:t>
          </a:r>
          <a:r>
            <a:rPr lang="he-IL" u="sng" baseline="0"/>
            <a:t> (נכס בסיס)</a:t>
          </a:r>
          <a:r>
            <a:rPr lang="he-IL" baseline="0"/>
            <a:t> </a:t>
          </a:r>
          <a:r>
            <a:rPr lang="he-IL"/>
            <a:t>לתקופת זמן עבור </a:t>
          </a:r>
          <a:r>
            <a:rPr lang="he-IL" u="sng"/>
            <a:t>תמורה</a:t>
          </a:r>
          <a:r>
            <a:rPr lang="he-IL"/>
            <a:t>. </a:t>
          </a:r>
        </a:p>
        <a:p>
          <a:pPr algn="r" rtl="1"/>
          <a:endParaRPr lang="he-IL"/>
        </a:p>
        <a:p>
          <a:pPr algn="r" rtl="1"/>
          <a:r>
            <a:rPr lang="he-IL" b="1">
              <a:solidFill>
                <a:srgbClr val="0070C0"/>
              </a:solidFill>
            </a:rPr>
            <a:t>חוזה</a:t>
          </a:r>
          <a:r>
            <a:rPr lang="he-IL"/>
            <a:t> הוא הסכם בין שני צדדים או יותר שיוצר זכויות ומחויבויות הניתנות לאכיפה. </a:t>
          </a:r>
        </a:p>
        <a:p>
          <a:pPr algn="r" rtl="1"/>
          <a:endParaRPr lang="he-IL"/>
        </a:p>
        <a:p>
          <a:pPr algn="r" rtl="1"/>
          <a:r>
            <a:rPr lang="he-IL"/>
            <a:t>הצד </a:t>
          </a:r>
          <a:r>
            <a:rPr lang="he-IL" u="sng"/>
            <a:t>שמספק את הזכות להשתמש בנכס הבסיס </a:t>
          </a:r>
          <a:r>
            <a:rPr lang="he-IL"/>
            <a:t>נקרא </a:t>
          </a:r>
          <a:r>
            <a:rPr lang="he-IL" sz="1400" b="1">
              <a:solidFill>
                <a:srgbClr val="7030A0"/>
              </a:solidFill>
            </a:rPr>
            <a:t>מחכיר</a:t>
          </a:r>
          <a:r>
            <a:rPr lang="he-IL"/>
            <a:t> והצד שמשיג את </a:t>
          </a:r>
          <a:r>
            <a:rPr lang="he-IL" u="sng"/>
            <a:t>הזכות להשתמש בנכס</a:t>
          </a:r>
          <a:r>
            <a:rPr lang="he-IL"/>
            <a:t> נקרא </a:t>
          </a:r>
          <a:r>
            <a:rPr lang="he-IL" sz="1400" b="1">
              <a:solidFill>
                <a:srgbClr val="7030A0"/>
              </a:solidFill>
            </a:rPr>
            <a:t>חוכר</a:t>
          </a:r>
          <a:r>
            <a:rPr lang="he-IL"/>
            <a:t>. </a:t>
          </a:r>
        </a:p>
        <a:p>
          <a:pPr algn="r" rtl="1"/>
          <a:endParaRPr lang="he-IL"/>
        </a:p>
        <a:p>
          <a:pPr algn="r" rtl="1"/>
          <a:r>
            <a:rPr lang="he-IL"/>
            <a:t>כפי</a:t>
          </a:r>
          <a:r>
            <a:rPr lang="he-IL" baseline="0"/>
            <a:t> שנראה בהמשך: ההבדל העקרוני בין חכירה לבין ״סתם שכירות״ הוא בתקופת ההסדר והיכולת לסיים את ההתקשרות בגינו (חכירה = לתקופה ארוכה, ההסכם מחייב ללא אפשרות ביטול פשוטה). </a:t>
          </a:r>
          <a:endParaRPr lang="he-IL"/>
        </a:p>
        <a:p>
          <a:pPr algn="r" rtl="1"/>
          <a:r>
            <a:rPr lang="he-IL"/>
            <a:t>- - - - - - </a:t>
          </a:r>
        </a:p>
        <a:p>
          <a:pPr algn="r" rtl="1"/>
          <a:endParaRPr lang="he-IL"/>
        </a:p>
        <a:p>
          <a:pPr algn="r" rtl="1"/>
          <a:r>
            <a:rPr lang="he-IL" b="1"/>
            <a:t>בהתאם לתקן ישות תיישם את התקן לגבי כל החכירות, למעט: </a:t>
          </a:r>
        </a:p>
        <a:p>
          <a:pPr algn="r" rtl="1"/>
          <a:endParaRPr lang="he-IL"/>
        </a:p>
        <a:p>
          <a:pPr algn="r" rtl="1"/>
          <a:r>
            <a:rPr lang="he-IL"/>
            <a:t>א. חכירות לחיפוש מינרלים, נפט, גז טבעי ומשאבים מתכלים דומים או לשימוש בהם. </a:t>
          </a:r>
        </a:p>
        <a:p>
          <a:pPr algn="r" rtl="1"/>
          <a:r>
            <a:rPr lang="he-IL"/>
            <a:t>ב. חכירות של נכסים ביולוגיים </a:t>
          </a:r>
          <a:endParaRPr lang="en-US"/>
        </a:p>
        <a:p>
          <a:pPr algn="r" rtl="1"/>
          <a:r>
            <a:rPr lang="he-IL"/>
            <a:t>ג. הסדרי זיכיון למתן שירות שבתחולת </a:t>
          </a:r>
          <a:r>
            <a:rPr lang="en-US"/>
            <a:t>IFRIC 12</a:t>
          </a:r>
          <a:endParaRPr lang="he-IL"/>
        </a:p>
        <a:p>
          <a:pPr algn="r" rtl="1"/>
          <a:r>
            <a:rPr lang="he-IL"/>
            <a:t>ד. רישיונות של קניין רוחני שהוענקו על ידי מחכיר</a:t>
          </a:r>
          <a:r>
            <a:rPr lang="he-IL" baseline="0"/>
            <a:t> שבתחולת </a:t>
          </a:r>
          <a:r>
            <a:rPr lang="en-US" baseline="0"/>
            <a:t>IFRS 15</a:t>
          </a:r>
          <a:endParaRPr lang="he-IL" baseline="0"/>
        </a:p>
        <a:p>
          <a:pPr algn="r" rtl="1"/>
          <a:r>
            <a:rPr lang="he-IL"/>
            <a:t>ה. זכויות המוחזקות על ידי חוכר במסגרת הסכמי רישוי שבתחולת </a:t>
          </a:r>
          <a:r>
            <a:rPr lang="en-US"/>
            <a:t>IAS 38</a:t>
          </a:r>
          <a:r>
            <a:rPr lang="he-IL"/>
            <a:t> לפריטים כמו סרטי קולנוע, הקלטות וידאו, מחזות, כתבי עת, פטנטים וזכויות יוצרים. </a:t>
          </a:r>
        </a:p>
        <a:p>
          <a:pPr algn="r" rtl="1"/>
          <a:r>
            <a:rPr lang="he-IL"/>
            <a:t>חוכר רשאי ליישם את התקן לגבי נכסים בלתי מוחשיים אחרים.</a:t>
          </a:r>
        </a:p>
        <a:p>
          <a:pPr algn="r" rtl="1"/>
          <a:endParaRPr lang="he-IL"/>
        </a:p>
        <a:p>
          <a:pPr algn="r" rtl="1"/>
          <a:r>
            <a:rPr lang="he-IL"/>
            <a:t>- - - - - - </a:t>
          </a:r>
        </a:p>
        <a:p>
          <a:pPr algn="r" rtl="1"/>
          <a:endParaRPr lang="he-IL"/>
        </a:p>
        <a:p>
          <a:pPr algn="r" rtl="1"/>
          <a:r>
            <a:rPr lang="he-IL" sz="1400" b="1"/>
            <a:t>זיהוי חכירה</a:t>
          </a:r>
        </a:p>
        <a:p>
          <a:pPr algn="r" rtl="1"/>
          <a:endParaRPr lang="he-IL"/>
        </a:p>
        <a:p>
          <a:pPr algn="r" rtl="1"/>
          <a:r>
            <a:rPr lang="he-IL"/>
            <a:t>לפני שמתחילים לדון לעומק במהי חכירה, כיצד נמדדת, כיצד מוצגת וכיו״ב - צריך להכנס קצת</a:t>
          </a:r>
          <a:r>
            <a:rPr lang="he-IL" baseline="0"/>
            <a:t> יותר לעומק לגבי ההבנה של מתי העסקה מוגדרת כחכירה. </a:t>
          </a:r>
        </a:p>
        <a:p>
          <a:pPr algn="r" rtl="1"/>
          <a:endParaRPr lang="he-IL"/>
        </a:p>
        <a:p>
          <a:pPr algn="r" rtl="1"/>
          <a:r>
            <a:rPr lang="he-IL"/>
            <a:t>התקן מגדיר - ״</a:t>
          </a:r>
          <a:r>
            <a:rPr lang="he-IL" b="1"/>
            <a:t>בעת התקשרות בחוזה. ישות תעריך אם החוזה </a:t>
          </a:r>
          <a:r>
            <a:rPr lang="he-IL" b="1">
              <a:solidFill>
                <a:srgbClr val="7030A0"/>
              </a:solidFill>
            </a:rPr>
            <a:t>הוא חכירה </a:t>
          </a:r>
          <a:r>
            <a:rPr lang="he-IL" b="1"/>
            <a:t>או אם הוא </a:t>
          </a:r>
          <a:r>
            <a:rPr lang="he-IL" b="1">
              <a:solidFill>
                <a:srgbClr val="7030A0"/>
              </a:solidFill>
            </a:rPr>
            <a:t>כולל חכירה</a:t>
          </a:r>
          <a:r>
            <a:rPr lang="he-IL"/>
            <a:t>. ״</a:t>
          </a:r>
        </a:p>
        <a:p>
          <a:pPr algn="r" rtl="1"/>
          <a:endParaRPr lang="he-IL"/>
        </a:p>
        <a:p>
          <a:pPr algn="r" rtl="1"/>
          <a:r>
            <a:rPr lang="he-IL" u="sng"/>
            <a:t>חוזה הוא חכירה או כולל חכירה אם:</a:t>
          </a:r>
        </a:p>
        <a:p>
          <a:pPr algn="r" rtl="1"/>
          <a:r>
            <a:rPr lang="he-IL"/>
            <a:t>- החוזה מעביר את הזכות </a:t>
          </a:r>
        </a:p>
        <a:p>
          <a:pPr algn="r" rtl="1"/>
          <a:r>
            <a:rPr lang="he-IL"/>
            <a:t>- לשלוט בשימוש בנכס </a:t>
          </a:r>
        </a:p>
        <a:p>
          <a:pPr algn="r" rtl="1"/>
          <a:r>
            <a:rPr lang="he-IL"/>
            <a:t>- כאשר הנכס הוא ״</a:t>
          </a:r>
          <a:r>
            <a:rPr lang="he-IL">
              <a:solidFill>
                <a:srgbClr val="FF0000"/>
              </a:solidFill>
            </a:rPr>
            <a:t>מזוהה</a:t>
          </a:r>
          <a:r>
            <a:rPr lang="he-IL"/>
            <a:t>״ (הרחבה בהמשך)</a:t>
          </a:r>
        </a:p>
        <a:p>
          <a:pPr algn="r" rtl="1"/>
          <a:r>
            <a:rPr lang="he-IL"/>
            <a:t>- </a:t>
          </a:r>
          <a:r>
            <a:rPr lang="he-IL" u="sng"/>
            <a:t>לתקופת זמן </a:t>
          </a:r>
          <a:r>
            <a:rPr lang="he-IL"/>
            <a:t>עבור </a:t>
          </a:r>
          <a:r>
            <a:rPr lang="he-IL" u="sng"/>
            <a:t>תמורה</a:t>
          </a:r>
          <a:r>
            <a:rPr lang="he-IL"/>
            <a:t>.</a:t>
          </a:r>
        </a:p>
        <a:p>
          <a:pPr algn="r" rtl="1"/>
          <a:endParaRPr lang="he-IL"/>
        </a:p>
        <a:p>
          <a:pPr algn="r" rtl="1"/>
          <a:r>
            <a:rPr lang="he-IL"/>
            <a:t>בעת</a:t>
          </a:r>
          <a:r>
            <a:rPr lang="he-IL" baseline="0"/>
            <a:t> </a:t>
          </a:r>
          <a:r>
            <a:rPr lang="he-IL"/>
            <a:t>התקשרות בחוזה הצדדים צריכים להעריך אם החוזה הוא חכירה. </a:t>
          </a:r>
        </a:p>
        <a:p>
          <a:pPr algn="r" rtl="1"/>
          <a:endParaRPr lang="he-IL"/>
        </a:p>
        <a:p>
          <a:pPr algn="r" rtl="1"/>
          <a:r>
            <a:rPr lang="he-IL"/>
            <a:t>-</a:t>
          </a:r>
          <a:r>
            <a:rPr lang="he-IL" baseline="0"/>
            <a:t> - - - - </a:t>
          </a:r>
          <a:endParaRPr lang="he-IL"/>
        </a:p>
        <a:p>
          <a:pPr algn="r" rtl="1"/>
          <a:endParaRPr lang="he-IL"/>
        </a:p>
        <a:p>
          <a:pPr algn="r" rtl="1"/>
          <a:r>
            <a:rPr lang="he-IL" u="sng"/>
            <a:t>מועד ההתקשרות בחכירה מוגדר כמועד המוקדם מבין:</a:t>
          </a:r>
        </a:p>
        <a:p>
          <a:pPr algn="r" rtl="1"/>
          <a:r>
            <a:rPr lang="he-IL"/>
            <a:t>א. מועד הסכם החכירה </a:t>
          </a:r>
        </a:p>
        <a:p>
          <a:pPr algn="r" rtl="1"/>
          <a:r>
            <a:rPr lang="he-IL"/>
            <a:t>ב. המועד שבו נוצרת מחויבות של הצדדים לתנאים העיקריים של החכירה. </a:t>
          </a:r>
        </a:p>
        <a:p>
          <a:pPr algn="r" rtl="1"/>
          <a:endParaRPr lang="he-IL"/>
        </a:p>
        <a:p>
          <a:pPr algn="r" rtl="1"/>
          <a:r>
            <a:rPr lang="he-IL" u="sng"/>
            <a:t>ברוב ההסדרים הקביעה האם חוזה הוא חכירה או כולל חכירה היא פשוטה</a:t>
          </a:r>
          <a:endParaRPr lang="he-IL"/>
        </a:p>
        <a:p>
          <a:pPr algn="r" rtl="1"/>
          <a:r>
            <a:rPr lang="he-IL"/>
            <a:t>עם זאת, בהסדרים מסוימים נדרש שיקול דעת ביישום דרישה זו. </a:t>
          </a:r>
        </a:p>
        <a:p>
          <a:pPr algn="r" rtl="1"/>
          <a:r>
            <a:rPr lang="he-IL" b="1"/>
            <a:t>לדוגמה</a:t>
          </a:r>
          <a:r>
            <a:rPr lang="he-IL"/>
            <a:t>, בחוזה הכולל שירותים משמעותיים נדרש שיקול דעת האם החוזה מעביר את הזכות לשלוט בשימוש בנכס. </a:t>
          </a:r>
        </a:p>
        <a:p>
          <a:pPr algn="r" rtl="1"/>
          <a:endParaRPr lang="he-IL"/>
        </a:p>
        <a:p>
          <a:pPr algn="r" rtl="1"/>
          <a:r>
            <a:rPr lang="he-IL"/>
            <a:t>נניח למשל שאני שוכר מכונה שמאד קשה לתפעל, ואינני יכול</a:t>
          </a:r>
          <a:r>
            <a:rPr lang="he-IL" baseline="0"/>
            <a:t> לבצע זאת ללא הדרכה חיצונית, בקרה, פיקוח מטעם החברה המשכירה. במצב כזה, לא בטוח שנוכל לומר שאכן קיימת בידי הזכות לשלוט בהטבות הגלומות בנכס. </a:t>
          </a:r>
          <a:endParaRPr lang="he-IL"/>
        </a:p>
        <a:p>
          <a:pPr algn="r" rtl="1"/>
          <a:endParaRPr lang="he-IL"/>
        </a:p>
        <a:p>
          <a:pPr algn="r" rtl="1"/>
          <a:r>
            <a:rPr lang="he-IL"/>
            <a:t>- - - - - - </a:t>
          </a:r>
        </a:p>
        <a:p>
          <a:pPr algn="r" rtl="1"/>
          <a:endParaRPr lang="he-IL"/>
        </a:p>
        <a:p>
          <a:pPr algn="r" rtl="1"/>
          <a:r>
            <a:rPr lang="he-IL"/>
            <a:t>ישות תעריך מחדש אם חוזה הוא חכירה או אם הוא כולל חכירה רק אם התנאים של החוזה השתנו. [בשפה פשוטה: אם התקשרתי בעסקה שמוגדרת כחכירה,</a:t>
          </a:r>
          <a:r>
            <a:rPr lang="he-IL" baseline="0"/>
            <a:t> היא תמשיך להיות מוכרת כעסקת חכירה גם בתקופות העוקבות]</a:t>
          </a:r>
        </a:p>
        <a:p>
          <a:pPr algn="r" rtl="1"/>
          <a:endParaRPr lang="he-IL"/>
        </a:p>
        <a:p>
          <a:pPr algn="r" rtl="1"/>
          <a:r>
            <a:rPr lang="he-IL"/>
            <a:t>חוזה הוא חכירה או כולל חכירה אם הוא </a:t>
          </a:r>
          <a:r>
            <a:rPr lang="he-IL" b="1">
              <a:solidFill>
                <a:srgbClr val="7030A0"/>
              </a:solidFill>
            </a:rPr>
            <a:t>מעביר </a:t>
          </a:r>
          <a:r>
            <a:rPr lang="he-IL" b="1" u="sng">
              <a:solidFill>
                <a:srgbClr val="7030A0"/>
              </a:solidFill>
            </a:rPr>
            <a:t>זכות לשלוט בשימוש בנכס </a:t>
          </a:r>
          <a:r>
            <a:rPr lang="he-IL" b="1">
              <a:solidFill>
                <a:srgbClr val="7030A0"/>
              </a:solidFill>
            </a:rPr>
            <a:t>מזוהה לתקופת זמן עבור תמורה</a:t>
          </a:r>
          <a:r>
            <a:rPr lang="he-IL"/>
            <a:t>. </a:t>
          </a:r>
        </a:p>
        <a:p>
          <a:pPr algn="r" rtl="1"/>
          <a:endParaRPr lang="he-IL"/>
        </a:p>
        <a:p>
          <a:pPr algn="r" rtl="1"/>
          <a:r>
            <a:rPr lang="he-IL"/>
            <a:t>-</a:t>
          </a:r>
          <a:r>
            <a:rPr lang="he-IL" baseline="0"/>
            <a:t> - - - - </a:t>
          </a:r>
          <a:endParaRPr lang="he-IL"/>
        </a:p>
        <a:p>
          <a:pPr algn="r" rtl="1"/>
          <a:endParaRPr lang="he-IL"/>
        </a:p>
        <a:p>
          <a:pPr algn="r" rtl="1"/>
          <a:r>
            <a:rPr lang="he-IL" b="1" u="sng"/>
            <a:t>זכות לשלוט בשימוש בנכס </a:t>
          </a:r>
          <a:r>
            <a:rPr lang="he-IL"/>
            <a:t>היא זכות להשיג הטבות כלכליות מהשימוש בנכס לאורך תקופת השימוש ולכוון כיצד ולאיזו מטרה הנכס משמש לאורך תקופת השימוש. </a:t>
          </a:r>
        </a:p>
        <a:p>
          <a:pPr algn="r" rtl="1"/>
          <a:endParaRPr lang="he-IL"/>
        </a:p>
        <a:p>
          <a:pPr algn="r" rtl="1"/>
          <a:r>
            <a:rPr lang="he-IL" b="1" u="sng"/>
            <a:t>לפיכך, כדי לקבוע אם החוזה הוא חוזה חכירה יש לקבוע האם: </a:t>
          </a:r>
        </a:p>
        <a:p>
          <a:pPr algn="r" rtl="1"/>
          <a:r>
            <a:rPr lang="he-IL"/>
            <a:t>א. נכס הבסיס (הנכס נשוא ההסכם) הוא </a:t>
          </a:r>
          <a:r>
            <a:rPr lang="he-IL" b="1">
              <a:solidFill>
                <a:srgbClr val="FF0000"/>
              </a:solidFill>
            </a:rPr>
            <a:t>נכס מזוהה </a:t>
          </a:r>
        </a:p>
        <a:p>
          <a:pPr algn="r" rtl="1"/>
          <a:r>
            <a:rPr lang="he-IL"/>
            <a:t>ב. ללקוח יש את </a:t>
          </a:r>
          <a:r>
            <a:rPr lang="he-IL" b="1">
              <a:solidFill>
                <a:srgbClr val="7030A0"/>
              </a:solidFill>
            </a:rPr>
            <a:t>הזכות להשיג למעשה את כל ההטבות הכלכליות מהשימוש בנכס</a:t>
          </a:r>
          <a:r>
            <a:rPr lang="he-IL"/>
            <a:t> לאורך תקופת השימוש </a:t>
          </a:r>
        </a:p>
        <a:p>
          <a:pPr algn="r" rtl="1"/>
          <a:r>
            <a:rPr lang="he-IL"/>
            <a:t>ג. ללקוח יש זכות </a:t>
          </a:r>
          <a:r>
            <a:rPr lang="he-IL" b="1">
              <a:solidFill>
                <a:srgbClr val="00B050"/>
              </a:solidFill>
            </a:rPr>
            <a:t>לכוון את השימוש בנכס </a:t>
          </a:r>
          <a:r>
            <a:rPr lang="he-IL"/>
            <a:t>במהלך תקופת השימוש </a:t>
          </a:r>
        </a:p>
        <a:p>
          <a:pPr algn="r" rtl="1"/>
          <a:r>
            <a:rPr lang="he-IL"/>
            <a:t>תקופת הזמן עשויה להיות מתוארת במונחים של כמות השימוש בנכס המזוהה (לדוגמה, מספר יחידות ייצור). </a:t>
          </a:r>
        </a:p>
        <a:p>
          <a:pPr algn="r" rtl="1"/>
          <a:endParaRPr lang="he-IL"/>
        </a:p>
        <a:p>
          <a:pPr algn="r" rtl="1"/>
          <a:endParaRPr lang="he-IL"/>
        </a:p>
        <a:p>
          <a:pPr algn="r" rtl="1"/>
          <a:endParaRPr lang="he-IL" sz="1100"/>
        </a:p>
        <a:p>
          <a:pPr algn="r" rtl="1"/>
          <a:endParaRPr lang="en-US" sz="1100"/>
        </a:p>
      </xdr:txBody>
    </xdr:sp>
    <xdr:clientData/>
  </xdr:twoCellAnchor>
  <xdr:twoCellAnchor editAs="oneCell">
    <xdr:from>
      <xdr:col>1</xdr:col>
      <xdr:colOff>6317</xdr:colOff>
      <xdr:row>64</xdr:row>
      <xdr:rowOff>114541</xdr:rowOff>
    </xdr:from>
    <xdr:to>
      <xdr:col>7</xdr:col>
      <xdr:colOff>284059</xdr:colOff>
      <xdr:row>103</xdr:row>
      <xdr:rowOff>134737</xdr:rowOff>
    </xdr:to>
    <xdr:pic>
      <xdr:nvPicPr>
        <xdr:cNvPr id="3" name="Picture 2">
          <a:extLst>
            <a:ext uri="{FF2B5EF4-FFF2-40B4-BE49-F238E27FC236}">
              <a16:creationId xmlns:a16="http://schemas.microsoft.com/office/drawing/2014/main" id="{1E501BFD-7C5B-6834-8653-BCDB0E79221A}"/>
            </a:ext>
          </a:extLst>
        </xdr:cNvPr>
        <xdr:cNvPicPr>
          <a:picLocks noChangeAspect="1"/>
        </xdr:cNvPicPr>
      </xdr:nvPicPr>
      <xdr:blipFill>
        <a:blip xmlns:r="http://schemas.openxmlformats.org/officeDocument/2006/relationships" r:embed="rId1"/>
        <a:stretch>
          <a:fillRect/>
        </a:stretch>
      </xdr:blipFill>
      <xdr:spPr>
        <a:xfrm>
          <a:off x="13490822969" y="12981259"/>
          <a:ext cx="5220444" cy="7860853"/>
        </a:xfrm>
        <a:prstGeom prst="rect">
          <a:avLst/>
        </a:prstGeom>
      </xdr:spPr>
    </xdr:pic>
    <xdr:clientData/>
  </xdr:twoCellAnchor>
  <xdr:twoCellAnchor>
    <xdr:from>
      <xdr:col>0</xdr:col>
      <xdr:colOff>0</xdr:colOff>
      <xdr:row>104</xdr:row>
      <xdr:rowOff>186764</xdr:rowOff>
    </xdr:from>
    <xdr:to>
      <xdr:col>7</xdr:col>
      <xdr:colOff>505962</xdr:colOff>
      <xdr:row>168</xdr:row>
      <xdr:rowOff>197628</xdr:rowOff>
    </xdr:to>
    <xdr:sp macro="" textlink="">
      <xdr:nvSpPr>
        <xdr:cNvPr id="4" name="TextBox 3">
          <a:extLst>
            <a:ext uri="{FF2B5EF4-FFF2-40B4-BE49-F238E27FC236}">
              <a16:creationId xmlns:a16="http://schemas.microsoft.com/office/drawing/2014/main" id="{7E37C7E8-7D74-3F4B-AA06-4B34AE8BE796}"/>
            </a:ext>
          </a:extLst>
        </xdr:cNvPr>
        <xdr:cNvSpPr txBox="1"/>
      </xdr:nvSpPr>
      <xdr:spPr>
        <a:xfrm>
          <a:off x="13529319165" y="21413907"/>
          <a:ext cx="6288998" cy="130737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1 - </a:t>
          </a:r>
          <a:r>
            <a:rPr lang="he-IL" sz="1100" b="1" baseline="0">
              <a:solidFill>
                <a:srgbClr val="FF0000"/>
              </a:solidFill>
            </a:rPr>
            <a:t>נכס מזוהה</a:t>
          </a:r>
          <a:endParaRPr lang="he-IL" sz="1100" b="1">
            <a:solidFill>
              <a:srgbClr val="FF0000"/>
            </a:solidFill>
          </a:endParaRPr>
        </a:p>
        <a:p>
          <a:pPr algn="r" rtl="1"/>
          <a:endParaRPr lang="he-IL" sz="1100"/>
        </a:p>
        <a:p>
          <a:pPr algn="r" rtl="1"/>
          <a:r>
            <a:rPr lang="he-IL"/>
            <a:t>חוזה כולל חכירה רק אם נכס הבסיס הוא </a:t>
          </a:r>
          <a:r>
            <a:rPr lang="he-IL">
              <a:solidFill>
                <a:srgbClr val="FF0000"/>
              </a:solidFill>
            </a:rPr>
            <a:t>נכס מזוהה</a:t>
          </a:r>
          <a:r>
            <a:rPr lang="he-IL"/>
            <a:t>. </a:t>
          </a:r>
        </a:p>
        <a:p>
          <a:pPr algn="r" rtl="1"/>
          <a:r>
            <a:rPr lang="he-IL"/>
            <a:t>נכס הוא בדרך כלל מזוהה בכך שהוא מוגדר </a:t>
          </a:r>
          <a:r>
            <a:rPr lang="he-IL" u="sng"/>
            <a:t>במפורש בחוזה</a:t>
          </a:r>
          <a:r>
            <a:rPr lang="he-IL"/>
            <a:t>. </a:t>
          </a:r>
        </a:p>
        <a:p>
          <a:pPr algn="r" rtl="1"/>
          <a:r>
            <a:rPr lang="he-IL"/>
            <a:t>אולם, נכס יכול להיות מזוהה גם בכך שיוגדר באופן משתמע במועד שבו הנכס הופך לזמין לשימוש על ידי הלקוח. </a:t>
          </a:r>
        </a:p>
        <a:p>
          <a:pPr algn="r" rtl="1"/>
          <a:endParaRPr lang="he-IL"/>
        </a:p>
        <a:p>
          <a:pPr algn="r" rtl="1"/>
          <a:r>
            <a:rPr lang="he-IL" b="1"/>
            <a:t>לדוגמה</a:t>
          </a:r>
          <a:r>
            <a:rPr lang="he-IL"/>
            <a:t>, </a:t>
          </a:r>
        </a:p>
        <a:p>
          <a:pPr algn="r" rtl="1"/>
          <a:r>
            <a:rPr lang="he-IL"/>
            <a:t>חברה א' חתמה עם חברה ב' על הסכם לשימוש במכונת</a:t>
          </a:r>
          <a:r>
            <a:rPr lang="he-IL" baseline="0"/>
            <a:t> נקניק </a:t>
          </a:r>
          <a:r>
            <a:rPr lang="he-IL"/>
            <a:t>לתקופה של 5 שנים. </a:t>
          </a:r>
        </a:p>
        <a:p>
          <a:pPr algn="r" rtl="1"/>
          <a:r>
            <a:rPr lang="he-IL"/>
            <a:t>בחוזה לא מפורש המספר הסידורי של המכונה. </a:t>
          </a:r>
        </a:p>
        <a:p>
          <a:pPr algn="r" rtl="1"/>
          <a:r>
            <a:rPr lang="he-IL"/>
            <a:t>המכונה מותאמת במיוחד עבור חברה א' ואין לחברה ב' מכונות נוספות</a:t>
          </a:r>
          <a:r>
            <a:rPr lang="he-IL" baseline="0"/>
            <a:t> </a:t>
          </a:r>
          <a:r>
            <a:rPr lang="he-IL"/>
            <a:t>שיכולות להתאים לחברה א'. </a:t>
          </a:r>
        </a:p>
        <a:p>
          <a:pPr algn="r" rtl="1"/>
          <a:r>
            <a:rPr lang="he-IL"/>
            <a:t>במידה והמכונה לא תפעל כראוי, חברה ב' מחויבת לתקן או להחליף</a:t>
          </a:r>
          <a:r>
            <a:rPr lang="he-IL" baseline="0"/>
            <a:t> את המכונה</a:t>
          </a:r>
          <a:r>
            <a:rPr lang="he-IL"/>
            <a:t>. </a:t>
          </a:r>
        </a:p>
        <a:p>
          <a:pPr algn="r" rtl="1"/>
          <a:endParaRPr lang="he-IL"/>
        </a:p>
        <a:p>
          <a:pPr algn="r" rtl="1"/>
          <a:r>
            <a:rPr lang="he-IL" u="sng"/>
            <a:t>האם מדובר בנכס מזוהה?</a:t>
          </a:r>
          <a:endParaRPr lang="he-IL"/>
        </a:p>
        <a:p>
          <a:pPr algn="r" rtl="1"/>
          <a:r>
            <a:rPr lang="he-IL"/>
            <a:t>התשובה חיובית. </a:t>
          </a:r>
        </a:p>
        <a:p>
          <a:pPr algn="r" rtl="1"/>
          <a:r>
            <a:rPr lang="he-IL"/>
            <a:t>למרות שהמכונה הספציפית איננה</a:t>
          </a:r>
          <a:r>
            <a:rPr lang="he-IL" baseline="0"/>
            <a:t> מוגדרת</a:t>
          </a:r>
          <a:r>
            <a:rPr lang="he-IL"/>
            <a:t> במפורש בחוזה (זו</a:t>
          </a:r>
          <a:r>
            <a:rPr lang="he-IL" baseline="0"/>
            <a:t> לא דירה המוגדרת לפי שטח / גוש / חלקה, זו לא מכונית שמזוהה חד ערכית לפי מספר רישוי)</a:t>
          </a:r>
          <a:r>
            <a:rPr lang="he-IL"/>
            <a:t>, היא מוגדרת</a:t>
          </a:r>
          <a:r>
            <a:rPr lang="he-IL" baseline="0"/>
            <a:t> </a:t>
          </a:r>
          <a:r>
            <a:rPr lang="he-IL"/>
            <a:t>באופן משתמע כי חברה ב' חייבת להשתמש בו כדי לקיים את החוזה. </a:t>
          </a:r>
        </a:p>
        <a:p>
          <a:pPr algn="r" rtl="1"/>
          <a:r>
            <a:rPr lang="he-IL"/>
            <a:t>במלים אחרות: כל עוד ההכוונה לנכס נשוא העסקה איננה ״כללית״ או</a:t>
          </a:r>
          <a:r>
            <a:rPr lang="he-IL" baseline="0"/>
            <a:t> ״גנרית״ לסוג של ״מאגר נכסים״ שיכולים להתאים ללא הגדרה ספציפית - הרי שמדובר בנכס מזוהה גם אם לא אוזכר במפורש. </a:t>
          </a:r>
          <a:endParaRPr lang="he-IL"/>
        </a:p>
        <a:p>
          <a:pPr algn="r" rtl="1"/>
          <a:endParaRPr lang="he-IL"/>
        </a:p>
        <a:p>
          <a:pPr algn="r" rtl="1"/>
          <a:r>
            <a:rPr lang="he-IL" b="1" u="sng"/>
            <a:t>נכס מוגדר שהוא בר חילוף - כנכס </a:t>
          </a:r>
          <a:r>
            <a:rPr lang="he-IL" b="1" u="sng">
              <a:solidFill>
                <a:srgbClr val="0070C0"/>
              </a:solidFill>
            </a:rPr>
            <a:t>לא מזוהה</a:t>
          </a:r>
        </a:p>
        <a:p>
          <a:pPr algn="r" rtl="1"/>
          <a:r>
            <a:rPr lang="he-IL"/>
            <a:t>גם אם נכס הוא מוגדר, </a:t>
          </a:r>
        </a:p>
        <a:p>
          <a:pPr algn="r" rtl="1"/>
          <a:r>
            <a:rPr lang="he-IL"/>
            <a:t>ללקוח </a:t>
          </a:r>
          <a:r>
            <a:rPr lang="he-IL" u="sng"/>
            <a:t>אין</a:t>
          </a:r>
          <a:r>
            <a:rPr lang="he-IL"/>
            <a:t> זכות להשתמש בנכס מזוהה </a:t>
          </a:r>
        </a:p>
        <a:p>
          <a:pPr algn="r" rtl="1"/>
          <a:r>
            <a:rPr lang="he-IL"/>
            <a:t>אם </a:t>
          </a:r>
          <a:r>
            <a:rPr lang="he-IL" b="1" u="sng">
              <a:solidFill>
                <a:srgbClr val="FF0000"/>
              </a:solidFill>
            </a:rPr>
            <a:t>לספק</a:t>
          </a:r>
          <a:r>
            <a:rPr lang="he-IL" u="sng"/>
            <a:t> יש זכות ממשית להחליף את הנכס לאורך תקופת השימוש</a:t>
          </a:r>
          <a:r>
            <a:rPr lang="he-IL"/>
            <a:t>. </a:t>
          </a:r>
        </a:p>
        <a:p>
          <a:pPr algn="r" rtl="1"/>
          <a:endParaRPr lang="he-IL"/>
        </a:p>
        <a:p>
          <a:pPr algn="r" rtl="1"/>
          <a:r>
            <a:rPr lang="he-IL" sz="900"/>
            <a:t>למשל: אם חברת עפריטה</a:t>
          </a:r>
          <a:r>
            <a:rPr lang="he-IL" sz="900" baseline="0"/>
            <a:t> מעוניינת להתקשר בהסכם ״חכירה״ לקיה פיקנטו אדומה עם סאב וופר בבגאז׳ ומדבקות של אש על הדלתות, ויש רק אחת כזו בחברת הליסינג, מדובר בנכס מזוהה. יחד עם זאת, עם בהסכם נרשם באותיות קטנות ״חברת הליסינג או מי מטעמה רשאית להחליף לעפריטה את הרכב לפי שיקול דעתה בהתראה של שבוע מראש. הרכב המסופק יהיה בעל שווי זהה או גבוה לשווי הרכב נשוא ההסכם״</a:t>
          </a:r>
          <a:endParaRPr lang="he-IL" sz="900"/>
        </a:p>
        <a:p>
          <a:pPr algn="r" rtl="1"/>
          <a:endParaRPr lang="he-IL"/>
        </a:p>
        <a:p>
          <a:pPr algn="r" rtl="1"/>
          <a:r>
            <a:rPr lang="he-IL"/>
            <a:t>זכות של ספק להחליף נכס היא ממשית אם מתקיימים שני תנאים במצטבר:</a:t>
          </a:r>
        </a:p>
        <a:p>
          <a:pPr algn="r" rtl="1"/>
          <a:endParaRPr lang="he-IL"/>
        </a:p>
        <a:p>
          <a:pPr algn="r" rtl="1"/>
          <a:r>
            <a:rPr lang="he-IL"/>
            <a:t>א. </a:t>
          </a:r>
          <a:r>
            <a:rPr lang="he-IL" u="sng"/>
            <a:t>״תנאי ה״אפשר להחליף״</a:t>
          </a:r>
          <a:r>
            <a:rPr lang="he-IL"/>
            <a:t>:</a:t>
          </a:r>
          <a:r>
            <a:rPr lang="he-IL" baseline="0"/>
            <a:t> </a:t>
          </a:r>
          <a:r>
            <a:rPr lang="he-IL"/>
            <a:t>לספק יש יכולת מעשית להחליף את הנכס לאורך תקופת השימוש, למשל הלקוח אינו יכול למנוע ממנו להחליף את הנכס והספק יכול להשיג בקלות נכסים חלופיים תוך זמן סביר. </a:t>
          </a:r>
        </a:p>
        <a:p>
          <a:pPr algn="r" rtl="1"/>
          <a:r>
            <a:rPr lang="he-IL"/>
            <a:t>אם הזכות או המחויבות להחלפת הנכס קיימת רק במועד מסוים או בהתרחש אירוע מוגדר או ממועד מסוים, זכות ההחלפה אינה ממשית כי אין לספק יכולת להחליף לאורך התקופה.</a:t>
          </a:r>
        </a:p>
        <a:p>
          <a:pPr algn="r" rtl="1"/>
          <a:endParaRPr lang="he-IL"/>
        </a:p>
        <a:p>
          <a:pPr algn="r" rtl="1"/>
          <a:r>
            <a:rPr lang="he-IL"/>
            <a:t>ב. </a:t>
          </a:r>
          <a:r>
            <a:rPr lang="he-IL" u="sng"/>
            <a:t>״האם יש סיבה להעריך שייתכן ויוחלף״:</a:t>
          </a:r>
          <a:r>
            <a:rPr lang="he-IL"/>
            <a:t> </a:t>
          </a:r>
          <a:r>
            <a:rPr lang="he-IL" u="sng"/>
            <a:t>הספק יכול להפיק הטבות כלכליות ממימוש זכות ההחלפה</a:t>
          </a:r>
          <a:r>
            <a:rPr lang="he-IL"/>
            <a:t>, כלומר ההטבות הצפויות בגין ההחלפה גבוהות מעלויות ההחלפה. אם הנכס אינו ממוקם במתקני הספק, סביר שעלויות ההחלפה יעלו על ההטבות הקשורות </a:t>
          </a:r>
        </a:p>
        <a:p>
          <a:pPr algn="r" rtl="1"/>
          <a:endParaRPr lang="he-IL"/>
        </a:p>
        <a:p>
          <a:pPr algn="r" rtl="1"/>
          <a:r>
            <a:rPr lang="he-IL" u="sng"/>
            <a:t>הערות</a:t>
          </a:r>
          <a:r>
            <a:rPr lang="he-IL"/>
            <a:t> </a:t>
          </a:r>
        </a:p>
        <a:p>
          <a:pPr algn="r" rtl="1"/>
          <a:r>
            <a:rPr lang="he-IL"/>
            <a:t>א. ההערכה אם זכות ההחלפה היא ממשית מבוססת על עובדות ונסיבות במועד ההתקשרות ואינה מביאה בחשבון אירועים עתידיים שנכון למועד ההתקשרות בחוזה לא סביר שיתרחשו</a:t>
          </a:r>
        </a:p>
        <a:p>
          <a:pPr algn="r" rtl="1"/>
          <a:endParaRPr lang="he-IL"/>
        </a:p>
        <a:p>
          <a:pPr algn="r" rtl="1"/>
          <a:r>
            <a:rPr lang="he-IL"/>
            <a:t>ב. זכות או מחויבות של הספק להחליף את הנכס לצורך תיקונים ותחזוקה במקרה שהנכס אינו פועל כראוי או שנדרש שדרוג טכני, אינן הופכות את זכות ההחלפה של הספק לממשית  </a:t>
          </a:r>
        </a:p>
        <a:p>
          <a:pPr algn="r" rtl="1"/>
          <a:endParaRPr lang="he-IL"/>
        </a:p>
        <a:p>
          <a:pPr algn="r" rtl="1"/>
          <a:r>
            <a:rPr lang="he-IL"/>
            <a:t>ג. אם לא ניתן לקבוע בנקל האם לספק יש זכות החלפה ממשית, יש להניח שהזכות אינה ממשית </a:t>
          </a:r>
        </a:p>
        <a:p>
          <a:pPr algn="r" rtl="1"/>
          <a:endParaRPr lang="he-IL"/>
        </a:p>
        <a:p>
          <a:pPr algn="r" rtl="1"/>
          <a:r>
            <a:rPr lang="he-IL"/>
            <a:t>ד. חלק מקיבולת של נכס הוא נכס מזוהה אם הוא מובחן באופן פיזי (לדוגמא רצפה של בניין או סיב אופטי ספציפי בתוך כבל סיבים אופטיים). </a:t>
          </a:r>
        </a:p>
        <a:p>
          <a:pPr algn="r" rtl="1"/>
          <a:r>
            <a:rPr lang="he-IL"/>
            <a:t>חלק מקיבולת או חלק אחר של נכס שאינו מובחן פיזי, לדוגמא חלק מקיבולת של סיב אופטי, אינו נכס מזוהה אלא אם הוא מייצג למעשה את כל הקיבולת של הנכס ובכך מספק ללקוח את הזכות להשיג למעשה את כל ההטבות הכלכליות מהשימוש בנכס.</a:t>
          </a:r>
        </a:p>
        <a:p>
          <a:pPr algn="r" rtl="1"/>
          <a:endParaRPr lang="he-IL"/>
        </a:p>
        <a:p>
          <a:pPr algn="r" rtl="1"/>
          <a:r>
            <a:rPr lang="he-IL" b="1"/>
            <a:t>לדוגמה</a:t>
          </a:r>
          <a:r>
            <a:rPr lang="he-IL"/>
            <a:t>, לקוח חתם על הסכם ל- 5 שנים עם ספק.</a:t>
          </a:r>
        </a:p>
        <a:p>
          <a:pPr algn="r" rtl="1"/>
          <a:r>
            <a:rPr lang="he-IL"/>
            <a:t>ההסכם מעניק ללקוח זכות להעביר נפט בצינור בבעלות הספק. </a:t>
          </a:r>
        </a:p>
        <a:p>
          <a:pPr algn="r" rtl="1"/>
          <a:r>
            <a:rPr lang="he-IL"/>
            <a:t>החוזה מעניק ללקוח זכות להשתמש ב- 95% מקיבולת הצינור במהלך התקופה. </a:t>
          </a:r>
        </a:p>
        <a:p>
          <a:pPr algn="r" rtl="1"/>
          <a:r>
            <a:rPr lang="he-IL"/>
            <a:t>למרות שחלק הקיבולת אינו מובחן פיזית</a:t>
          </a:r>
          <a:r>
            <a:rPr lang="he-IL" baseline="0"/>
            <a:t> - </a:t>
          </a:r>
        </a:p>
        <a:p>
          <a:pPr algn="r" rtl="1"/>
          <a:r>
            <a:rPr lang="he-IL"/>
            <a:t>מכיוון שלמעשה ללקוח יש זכות להשיג ״</a:t>
          </a:r>
          <a:r>
            <a:rPr lang="he-IL">
              <a:solidFill>
                <a:srgbClr val="FF0000"/>
              </a:solidFill>
            </a:rPr>
            <a:t>למעשה</a:t>
          </a:r>
          <a:r>
            <a:rPr lang="he-IL"/>
            <a:t>״ את כל ההטבות הכלכליות מהשימוש בנכס (שיעור</a:t>
          </a:r>
          <a:r>
            <a:rPr lang="he-IL" baseline="0"/>
            <a:t> מאד גבוה </a:t>
          </a:r>
          <a:r>
            <a:rPr lang="he-IL"/>
            <a:t>95%), נוצר נכס מזוהה. </a:t>
          </a:r>
        </a:p>
        <a:p>
          <a:pPr algn="r" rtl="1"/>
          <a:r>
            <a:rPr lang="he-IL"/>
            <a:t>לעומת זאת, אם למשל ללקוח הייתה זכות להשתמש ב- 60% מקיבולת הצינור, אין נכס מזוהה. </a:t>
          </a:r>
        </a:p>
        <a:p>
          <a:pPr algn="r" rtl="1"/>
          <a:endParaRPr lang="he-IL" sz="1100"/>
        </a:p>
        <a:p>
          <a:pPr algn="r" rtl="1"/>
          <a:r>
            <a:rPr lang="he-IL" sz="1100"/>
            <a:t>במלים אחרות: </a:t>
          </a:r>
        </a:p>
        <a:p>
          <a:pPr algn="r" rtl="1"/>
          <a:endParaRPr lang="he-IL" sz="1100"/>
        </a:p>
        <a:p>
          <a:pPr algn="r" rtl="1"/>
          <a:r>
            <a:rPr lang="he-IL" sz="1100"/>
            <a:t>שני צינורות, ואני יכול להשתמש רק באחד מהם - נכס מזוהה (כי יש הבחנה פיזית ביניהם, ומה ששלי - הוא 100% שלי,</a:t>
          </a:r>
          <a:r>
            <a:rPr lang="he-IL" sz="1100" baseline="0"/>
            <a:t> למרות שהוא רק צינור אחד).</a:t>
          </a:r>
        </a:p>
        <a:p>
          <a:pPr algn="r" rtl="1"/>
          <a:endParaRPr lang="he-IL" sz="1100" baseline="0"/>
        </a:p>
        <a:p>
          <a:pPr algn="r" rtl="1"/>
          <a:r>
            <a:rPr lang="he-IL" sz="1100" baseline="0"/>
            <a:t>צינור אחד - שאני מוגבל משמעותית באשר לקיבולת השימוש בו - אין נכס מזוהה.  </a:t>
          </a:r>
        </a:p>
        <a:p>
          <a:pPr algn="r" rtl="1"/>
          <a:endParaRPr lang="he-IL" sz="1100" baseline="0"/>
        </a:p>
        <a:p>
          <a:pPr algn="r" rtl="1"/>
          <a:r>
            <a:rPr lang="he-IL" sz="1100" baseline="0"/>
            <a:t>התקן לא מגדיר באופן מפורש את המשמעות של ״כל ההטבות - למעשה״ והדבר דורש שיקול דעת. </a:t>
          </a:r>
          <a:endParaRPr lang="he-IL" sz="1100"/>
        </a:p>
        <a:p>
          <a:pPr algn="r" rtl="1"/>
          <a:endParaRPr lang="en-US" sz="1100"/>
        </a:p>
      </xdr:txBody>
    </xdr:sp>
    <xdr:clientData/>
  </xdr:twoCellAnchor>
  <xdr:twoCellAnchor>
    <xdr:from>
      <xdr:col>0</xdr:col>
      <xdr:colOff>48598</xdr:colOff>
      <xdr:row>171</xdr:row>
      <xdr:rowOff>49389</xdr:rowOff>
    </xdr:from>
    <xdr:to>
      <xdr:col>7</xdr:col>
      <xdr:colOff>440613</xdr:colOff>
      <xdr:row>188</xdr:row>
      <xdr:rowOff>0</xdr:rowOff>
    </xdr:to>
    <xdr:sp macro="" textlink="">
      <xdr:nvSpPr>
        <xdr:cNvPr id="5" name="TextBox 4">
          <a:extLst>
            <a:ext uri="{FF2B5EF4-FFF2-40B4-BE49-F238E27FC236}">
              <a16:creationId xmlns:a16="http://schemas.microsoft.com/office/drawing/2014/main" id="{D6AEF13D-028A-9FBE-3EF4-61F778762116}"/>
            </a:ext>
          </a:extLst>
        </xdr:cNvPr>
        <xdr:cNvSpPr txBox="1"/>
      </xdr:nvSpPr>
      <xdr:spPr>
        <a:xfrm>
          <a:off x="13529384514" y="34951710"/>
          <a:ext cx="6175051" cy="34204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2 - </a:t>
          </a:r>
          <a:r>
            <a:rPr lang="he-IL" sz="1100" b="1" baseline="0">
              <a:solidFill>
                <a:srgbClr val="00B050"/>
              </a:solidFill>
            </a:rPr>
            <a:t>זכות להשיג הטבות כלכליות משימוש</a:t>
          </a:r>
          <a:endParaRPr lang="he-IL" sz="1100" b="1">
            <a:solidFill>
              <a:srgbClr val="00B050"/>
            </a:solidFill>
          </a:endParaRPr>
        </a:p>
        <a:p>
          <a:pPr algn="r" rtl="1"/>
          <a:endParaRPr lang="he-IL" sz="1100"/>
        </a:p>
        <a:p>
          <a:pPr algn="r" rtl="1"/>
          <a:r>
            <a:rPr lang="he-IL"/>
            <a:t>על מנת </a:t>
          </a:r>
          <a:r>
            <a:rPr lang="he-IL" u="sng"/>
            <a:t>לשלוט בשימוש בנכס מזוהה</a:t>
          </a:r>
          <a:r>
            <a:rPr lang="he-IL"/>
            <a:t>, </a:t>
          </a:r>
        </a:p>
        <a:p>
          <a:pPr algn="r" rtl="1"/>
          <a:r>
            <a:rPr lang="he-IL"/>
            <a:t>התקן דורש שללקוח </a:t>
          </a:r>
          <a:r>
            <a:rPr lang="he-IL" u="sng"/>
            <a:t>תהיה זכות להשיג למעשה </a:t>
          </a:r>
          <a:r>
            <a:rPr lang="he-IL"/>
            <a:t>את כל ההטבות הכלכליות משימוש בנכס לאורך תקופת השימוש.</a:t>
          </a:r>
        </a:p>
        <a:p>
          <a:pPr algn="r" rtl="1"/>
          <a:endParaRPr lang="he-IL"/>
        </a:p>
        <a:p>
          <a:pPr algn="r" rtl="1"/>
          <a:r>
            <a:rPr lang="he-IL"/>
            <a:t>הדגמה</a:t>
          </a:r>
          <a:r>
            <a:rPr lang="he-IL" baseline="0"/>
            <a:t> - אם ללקוח </a:t>
          </a:r>
          <a:r>
            <a:rPr lang="he-IL"/>
            <a:t>יש זכות שימוש </a:t>
          </a:r>
          <a:r>
            <a:rPr lang="he-IL" u="sng"/>
            <a:t>בלעדית בנכס </a:t>
          </a:r>
          <a:r>
            <a:rPr lang="he-IL"/>
            <a:t>במשך תקופת השימוש. </a:t>
          </a:r>
        </a:p>
        <a:p>
          <a:pPr algn="r" rtl="1"/>
          <a:endParaRPr lang="he-IL"/>
        </a:p>
        <a:p>
          <a:pPr algn="r" rtl="1"/>
          <a:r>
            <a:rPr lang="he-IL"/>
            <a:t>ההטבות הכלכליות יכולות להיות מושגות במגוון דרכים </a:t>
          </a:r>
          <a:r>
            <a:rPr lang="he-IL" u="sng"/>
            <a:t>במישרין</a:t>
          </a:r>
          <a:r>
            <a:rPr lang="he-IL"/>
            <a:t> או </a:t>
          </a:r>
          <a:r>
            <a:rPr lang="he-IL" u="sng"/>
            <a:t>בעקיפין</a:t>
          </a:r>
          <a:r>
            <a:rPr lang="he-IL"/>
            <a:t> כגון שימוש, החזקה, החכרת משנה וכו׳. </a:t>
          </a:r>
        </a:p>
        <a:p>
          <a:pPr algn="r" rtl="1"/>
          <a:endParaRPr lang="he-IL"/>
        </a:p>
        <a:p>
          <a:pPr algn="r" rtl="1"/>
          <a:r>
            <a:rPr lang="he-IL"/>
            <a:t>לצורך הערכת ההטבות הכלכליות יש </a:t>
          </a:r>
          <a:r>
            <a:rPr lang="he-IL" u="sng"/>
            <a:t>להתחשב בהיקף המוגדר של זכות השימוש</a:t>
          </a:r>
          <a:r>
            <a:rPr lang="he-IL"/>
            <a:t>. </a:t>
          </a:r>
        </a:p>
        <a:p>
          <a:pPr algn="r" rtl="1"/>
          <a:endParaRPr lang="he-IL"/>
        </a:p>
        <a:p>
          <a:pPr algn="r" rtl="1"/>
          <a:r>
            <a:rPr lang="he-IL" b="1" u="sng"/>
            <a:t>לדוגמה-</a:t>
          </a:r>
          <a:r>
            <a:rPr lang="he-IL"/>
            <a:t>  </a:t>
          </a:r>
        </a:p>
        <a:p>
          <a:pPr algn="r" rtl="1"/>
          <a:r>
            <a:rPr lang="he-IL"/>
            <a:t>אם חוזה קובע שהלקוח יכול לנסוע ברכב ממונע </a:t>
          </a:r>
        </a:p>
        <a:p>
          <a:pPr algn="r" rtl="1"/>
          <a:r>
            <a:rPr lang="he-IL" i="1"/>
            <a:t>רק עד מספר קילומטרים מסוים </a:t>
          </a:r>
          <a:r>
            <a:rPr lang="he-IL"/>
            <a:t>במהלך השימוש, </a:t>
          </a:r>
        </a:p>
        <a:p>
          <a:pPr algn="r" rtl="1"/>
          <a:r>
            <a:rPr lang="he-IL"/>
            <a:t>יש להביא בחשבון רק את ההטבות הכלכליות משימוש ברכב עבור המרחק המותר ולא מעבר לכך.</a:t>
          </a:r>
        </a:p>
        <a:p>
          <a:pPr algn="r" rtl="1"/>
          <a:endParaRPr lang="he-IL"/>
        </a:p>
        <a:p>
          <a:pPr algn="r" rtl="1"/>
          <a:r>
            <a:rPr lang="he-IL"/>
            <a:t>כמו</a:t>
          </a:r>
          <a:r>
            <a:rPr lang="he-IL" baseline="0"/>
            <a:t> כן, </a:t>
          </a:r>
          <a:r>
            <a:rPr lang="he-IL" u="sng"/>
            <a:t>אם הלקוח נדרש לשלם חלק מתזרימי המזומנים המופקים מהנכס </a:t>
          </a:r>
          <a:r>
            <a:rPr lang="he-IL"/>
            <a:t>(למשל שיעור מסוים מהמכירות של מכונת חימום נקניק) רואים את אותו חלק כהטבות המתקבלות מהנכס אלא שהלקוח משלם אותן לצד אחר (כלומר זה לא מונע קביעה שהלקוח משיג את כל ההטבות הכלכליות מהשימוש בנכס).</a:t>
          </a:r>
          <a:endParaRPr lang="en-US" sz="1100"/>
        </a:p>
      </xdr:txBody>
    </xdr:sp>
    <xdr:clientData/>
  </xdr:twoCellAnchor>
  <xdr:twoCellAnchor>
    <xdr:from>
      <xdr:col>0</xdr:col>
      <xdr:colOff>0</xdr:colOff>
      <xdr:row>190</xdr:row>
      <xdr:rowOff>123902</xdr:rowOff>
    </xdr:from>
    <xdr:to>
      <xdr:col>7</xdr:col>
      <xdr:colOff>487866</xdr:colOff>
      <xdr:row>230</xdr:row>
      <xdr:rowOff>78102</xdr:rowOff>
    </xdr:to>
    <xdr:sp macro="" textlink="">
      <xdr:nvSpPr>
        <xdr:cNvPr id="6" name="TextBox 5">
          <a:extLst>
            <a:ext uri="{FF2B5EF4-FFF2-40B4-BE49-F238E27FC236}">
              <a16:creationId xmlns:a16="http://schemas.microsoft.com/office/drawing/2014/main" id="{08E4DE38-A96E-E5FE-5B33-3356BC13158D}"/>
            </a:ext>
          </a:extLst>
        </xdr:cNvPr>
        <xdr:cNvSpPr txBox="1"/>
      </xdr:nvSpPr>
      <xdr:spPr>
        <a:xfrm>
          <a:off x="13513164460" y="33945292"/>
          <a:ext cx="6263989" cy="81039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קריטריון</a:t>
          </a:r>
          <a:r>
            <a:rPr lang="he-IL" sz="1100" b="1" baseline="0"/>
            <a:t> 3 - </a:t>
          </a:r>
          <a:r>
            <a:rPr lang="he-IL" sz="1100" b="1" u="sng" baseline="0">
              <a:solidFill>
                <a:srgbClr val="7030A0"/>
              </a:solidFill>
            </a:rPr>
            <a:t>זכות לכוון את (סוג) השימוש</a:t>
          </a:r>
          <a:endParaRPr lang="he-IL" sz="1100" b="1" u="sng">
            <a:solidFill>
              <a:srgbClr val="7030A0"/>
            </a:solidFill>
          </a:endParaRPr>
        </a:p>
        <a:p>
          <a:pPr algn="r" rtl="1"/>
          <a:endParaRPr lang="he-IL" sz="1100"/>
        </a:p>
        <a:p>
          <a:pPr algn="r" rtl="1"/>
          <a:r>
            <a:rPr lang="he-IL"/>
            <a:t>ללקוח יש זכות לכוון את השימוש בנכס מזוהה במהלך תקופת השימוש אם מתקיים </a:t>
          </a:r>
          <a:r>
            <a:rPr lang="he-IL" u="sng"/>
            <a:t>אחד</a:t>
          </a:r>
          <a:r>
            <a:rPr lang="he-IL"/>
            <a:t> מהתנאים הבאים: </a:t>
          </a:r>
        </a:p>
        <a:p>
          <a:pPr algn="r" rtl="1"/>
          <a:endParaRPr lang="he-IL"/>
        </a:p>
        <a:p>
          <a:pPr algn="r" rtl="1"/>
          <a:r>
            <a:rPr lang="he-IL" u="sng"/>
            <a:t>א. ללקוח יש את הזכות לכוון כיצד ולאיזו מטרה הנכס משמש לאורך תקופת השימוש</a:t>
          </a:r>
          <a:r>
            <a:rPr lang="he-IL"/>
            <a:t> – </a:t>
          </a:r>
        </a:p>
        <a:p>
          <a:pPr algn="r" rtl="1"/>
          <a:r>
            <a:rPr lang="he-IL"/>
            <a:t>תנאי זה מתקיים כאשר הלקוח יכול </a:t>
          </a:r>
          <a:r>
            <a:rPr lang="he-IL" b="1"/>
            <a:t>לשנות</a:t>
          </a:r>
          <a:r>
            <a:rPr lang="he-IL"/>
            <a:t> את האופן שבו הנכס משמש </a:t>
          </a:r>
        </a:p>
        <a:p>
          <a:pPr algn="r" rtl="1"/>
          <a:r>
            <a:rPr lang="he-IL" b="1"/>
            <a:t>ולאיזו מטרה הוא משמש </a:t>
          </a:r>
          <a:r>
            <a:rPr lang="he-IL"/>
            <a:t>לאורך תקופת השימוש, </a:t>
          </a:r>
        </a:p>
        <a:p>
          <a:pPr algn="r" rtl="1"/>
          <a:r>
            <a:rPr lang="he-IL"/>
            <a:t>במסגרת ההיקף המוגדר חוזית של זכות השימוש בהתאם לחוזה. </a:t>
          </a:r>
        </a:p>
        <a:p>
          <a:pPr algn="r" rtl="1"/>
          <a:endParaRPr lang="he-IL"/>
        </a:p>
        <a:p>
          <a:pPr algn="r" rtl="1"/>
          <a:r>
            <a:rPr lang="he-IL" b="1" u="sng"/>
            <a:t>דוגמאות</a:t>
          </a:r>
          <a:r>
            <a:rPr lang="he-IL"/>
            <a:t> לזכויות לקבלת החלטות שמעניקות זכות לכוון את השימוש כוללות: </a:t>
          </a:r>
        </a:p>
        <a:p>
          <a:pPr algn="r" rtl="1"/>
          <a:r>
            <a:rPr lang="he-IL"/>
            <a:t>    - זכויות לשנות את אופן השימוש בנכס, למשל האם להשתמש במכולה להובלה או לאחסון </a:t>
          </a:r>
        </a:p>
        <a:p>
          <a:pPr algn="r" rtl="1"/>
          <a:r>
            <a:rPr lang="he-IL"/>
            <a:t>    -</a:t>
          </a:r>
          <a:r>
            <a:rPr lang="he-IL" baseline="0"/>
            <a:t> </a:t>
          </a:r>
          <a:r>
            <a:rPr lang="he-IL"/>
            <a:t>זכויות לשנות את עיתוי ייצור התוצר, לדוגמה להחליט מתי ייעשה שימוש במכונה </a:t>
          </a:r>
        </a:p>
        <a:p>
          <a:pPr algn="r" rtl="1"/>
          <a:r>
            <a:rPr lang="he-IL"/>
            <a:t>    -</a:t>
          </a:r>
          <a:r>
            <a:rPr lang="he-IL" baseline="0"/>
            <a:t> </a:t>
          </a:r>
          <a:r>
            <a:rPr lang="he-IL"/>
            <a:t>זכויות לשנות את מיקום הייצור של התוצר, לדוגמה להחליט לגבי היעד של ספינה </a:t>
          </a:r>
        </a:p>
        <a:p>
          <a:pPr algn="r" rtl="1"/>
          <a:r>
            <a:rPr lang="he-IL"/>
            <a:t>    -</a:t>
          </a:r>
          <a:r>
            <a:rPr lang="he-IL" baseline="0"/>
            <a:t> </a:t>
          </a:r>
          <a:r>
            <a:rPr lang="he-IL"/>
            <a:t>זכויות לקבוע האם ייוצר תוצר וכמותו, לדוגמה להחליט אם לייצר אנרגיה מתחנת כוח וכמה לייצר.</a:t>
          </a:r>
        </a:p>
        <a:p>
          <a:pPr algn="r" rtl="1"/>
          <a:endParaRPr lang="he-IL"/>
        </a:p>
        <a:p>
          <a:pPr algn="r" rtl="1"/>
          <a:r>
            <a:rPr lang="he-IL"/>
            <a:t>בדרך כלל, זכות המוגבלת לתפעול ולתחזוקת הנכס אינה זכות לכוון כיצד ולאיזה מטרה הנכס משמש.</a:t>
          </a:r>
        </a:p>
        <a:p>
          <a:pPr algn="r" rtl="1"/>
          <a:endParaRPr lang="he-IL"/>
        </a:p>
        <a:p>
          <a:pPr algn="r" rtl="1"/>
          <a:r>
            <a:rPr lang="he-IL" b="1">
              <a:solidFill>
                <a:srgbClr val="00B050"/>
              </a:solidFill>
            </a:rPr>
            <a:t>הלקוח </a:t>
          </a:r>
          <a:r>
            <a:rPr lang="he-IL" b="1" u="sng">
              <a:solidFill>
                <a:srgbClr val="00B050"/>
              </a:solidFill>
            </a:rPr>
            <a:t>אינו נדרש </a:t>
          </a:r>
          <a:r>
            <a:rPr lang="he-IL" b="1">
              <a:solidFill>
                <a:srgbClr val="00B050"/>
              </a:solidFill>
            </a:rPr>
            <a:t>לתפעל בעצמו את הנכס כדי שתהיה לו זכות לכוון את השימוש בנכס, </a:t>
          </a:r>
        </a:p>
        <a:p>
          <a:pPr algn="r" rtl="1"/>
          <a:r>
            <a:rPr lang="he-IL" b="1">
              <a:solidFill>
                <a:srgbClr val="00B050"/>
              </a:solidFill>
            </a:rPr>
            <a:t>לפיכך ייתכן שהלקוח קובע את אופן השימוש בנכס גם אם הנכס </a:t>
          </a:r>
          <a:r>
            <a:rPr lang="he-IL" b="1" u="sng">
              <a:solidFill>
                <a:srgbClr val="00B050"/>
              </a:solidFill>
            </a:rPr>
            <a:t>מתופעל על ידי עובדים של הספק</a:t>
          </a:r>
          <a:r>
            <a:rPr lang="he-IL" b="1">
              <a:solidFill>
                <a:srgbClr val="00B050"/>
              </a:solidFill>
            </a:rPr>
            <a:t>. </a:t>
          </a:r>
        </a:p>
        <a:p>
          <a:pPr algn="r" rtl="1"/>
          <a:endParaRPr lang="he-IL"/>
        </a:p>
        <a:p>
          <a:pPr algn="r" rtl="1"/>
          <a:r>
            <a:rPr lang="he-IL"/>
            <a:t>אם </a:t>
          </a:r>
          <a:r>
            <a:rPr lang="he-IL" b="1" u="sng"/>
            <a:t>לספק</a:t>
          </a:r>
          <a:r>
            <a:rPr lang="he-IL"/>
            <a:t> יש את הזכות לכוון כיצד ולאיזו מטרה הנכס משמש לאורך תקופת השימוש </a:t>
          </a:r>
        </a:p>
        <a:p>
          <a:pPr algn="r" rtl="1"/>
          <a:r>
            <a:rPr lang="he-IL" sz="1400"/>
            <a:t>אז החוזה אינו חוזה חכירה. </a:t>
          </a:r>
        </a:p>
        <a:p>
          <a:pPr algn="r" rtl="1"/>
          <a:endParaRPr lang="he-IL"/>
        </a:p>
        <a:p>
          <a:pPr algn="r" rtl="1"/>
          <a:r>
            <a:rPr lang="he-IL" b="1" u="sng">
              <a:solidFill>
                <a:srgbClr val="FF0000"/>
              </a:solidFill>
            </a:rPr>
            <a:t>אם</a:t>
          </a:r>
          <a:r>
            <a:rPr lang="he-IL" b="1">
              <a:solidFill>
                <a:srgbClr val="FF0000"/>
              </a:solidFill>
            </a:rPr>
            <a:t> לאף אחד מהצדדים אין זכות לכוון כיצד ולאיזו מטרה הנכס משמש לאורך תקופת השימוש, יש לבחון את תנאי ב׳. </a:t>
          </a:r>
        </a:p>
        <a:p>
          <a:pPr algn="r" rtl="1"/>
          <a:endParaRPr lang="he-IL"/>
        </a:p>
        <a:p>
          <a:pPr algn="r" rtl="1"/>
          <a:r>
            <a:rPr lang="he-IL"/>
            <a:t>ב. ההחלטות הרלוונטיות לגבי אופן השימוש בנכס ומטרתו נקבעות מראש – במקרה כזה ללקוח יש זכות לכוון את השימוש רק </a:t>
          </a:r>
          <a:r>
            <a:rPr lang="he-IL" u="sng"/>
            <a:t>אם אחד </a:t>
          </a:r>
          <a:r>
            <a:rPr lang="he-IL"/>
            <a:t>מהבאים מתקיים: </a:t>
          </a:r>
        </a:p>
        <a:p>
          <a:pPr algn="r" rtl="1"/>
          <a:r>
            <a:rPr lang="he-IL"/>
            <a:t>- </a:t>
          </a:r>
          <a:r>
            <a:rPr lang="he-IL" b="1"/>
            <a:t>ללקוח יש זכות להפעיל את הנכס במהלך תקופת השימוש (או לכוון אחרים להפעילו) </a:t>
          </a:r>
        </a:p>
        <a:p>
          <a:pPr algn="r" rtl="1"/>
          <a:r>
            <a:rPr lang="he-IL" b="1"/>
            <a:t>  באופן שהוא קובע ולספק אין זכות לשנות את הוראות ההפעלה הללו </a:t>
          </a:r>
        </a:p>
        <a:p>
          <a:pPr algn="r" rtl="1"/>
          <a:endParaRPr lang="he-IL" b="1"/>
        </a:p>
        <a:p>
          <a:pPr algn="r" rtl="1"/>
          <a:r>
            <a:rPr lang="he-IL"/>
            <a:t>- </a:t>
          </a:r>
          <a:r>
            <a:rPr lang="he-IL" b="1"/>
            <a:t>הלקוח תכנן את הנכס </a:t>
          </a:r>
          <a:r>
            <a:rPr lang="he-IL"/>
            <a:t>(או היבטים ספציפיים של הנכס) באופן שקובע מראש כיצד ולאיזו מטרה הוא ישמש. למשל: חברת ״נועה״ היא היצרנית היחידה של מכונות חימום נקניק מבוססות</a:t>
          </a:r>
          <a:r>
            <a:rPr lang="he-IL" baseline="0"/>
            <a:t> טכנולוגית </a:t>
          </a:r>
          <a:r>
            <a:rPr lang="en-US" baseline="0"/>
            <a:t>AI</a:t>
          </a:r>
          <a:r>
            <a:rPr lang="he-IL" baseline="0"/>
            <a:t> חדשנית. אין אף חברה אחרת בעולם שיכולה להשתמש בטכנולוגיה זו, והנכס שנחכר מאפשר יישום טכנולוגיה זו. </a:t>
          </a:r>
          <a:endParaRPr lang="he-IL"/>
        </a:p>
        <a:p>
          <a:pPr algn="r" rtl="1"/>
          <a:endParaRPr lang="he-IL"/>
        </a:p>
        <a:p>
          <a:pPr algn="r" rtl="1"/>
          <a:r>
            <a:rPr lang="he-IL"/>
            <a:t>ההחלטות הרלוונטיות יכולות להיקבע מראש במספר דרכים לדוגמה, על ידי תכנון הנכס או על ידי מגבלות חוזיות על השימוש בנכס. </a:t>
          </a:r>
        </a:p>
        <a:p>
          <a:pPr algn="r" rtl="1"/>
          <a:endParaRPr lang="he-IL"/>
        </a:p>
        <a:p>
          <a:pPr algn="r" rtl="1"/>
          <a:r>
            <a:rPr lang="he-IL" b="1"/>
            <a:t>לעתים חוזה כולל תנאים שנועדו להגן על זכויות הספק בנכס </a:t>
          </a:r>
        </a:p>
        <a:p>
          <a:pPr algn="r" rtl="1"/>
          <a:r>
            <a:rPr lang="he-IL" b="1"/>
            <a:t>או </a:t>
          </a:r>
        </a:p>
        <a:p>
          <a:pPr algn="r" rtl="1"/>
          <a:r>
            <a:rPr lang="he-IL" b="1"/>
            <a:t>כדי להבטיח את עמידת הספק בחוקים או בתקנות.</a:t>
          </a:r>
        </a:p>
        <a:p>
          <a:pPr algn="r" rtl="1"/>
          <a:endParaRPr lang="he-IL" b="1"/>
        </a:p>
        <a:p>
          <a:pPr algn="r" rtl="1"/>
          <a:r>
            <a:rPr lang="he-IL" b="1"/>
            <a:t> לדוגמה החוזה מגביל את כמות השימוש או מיקום השימוש או את אופן השימוש. </a:t>
          </a:r>
        </a:p>
        <a:p>
          <a:pPr algn="r" rtl="1"/>
          <a:endParaRPr lang="he-IL" b="1"/>
        </a:p>
        <a:p>
          <a:pPr algn="r" rtl="1"/>
          <a:r>
            <a:rPr lang="he-IL" b="1">
              <a:solidFill>
                <a:srgbClr val="FF0000"/>
              </a:solidFill>
            </a:rPr>
            <a:t>זכויות מגינות בדרך כלל אינן מונעות מהלקוח את הזכות לכוון את השימוש בנכס, משום שהן מגדירות את היקף זכות השימוש של הלקוח. </a:t>
          </a:r>
          <a:r>
            <a:rPr lang="he-IL" b="0">
              <a:solidFill>
                <a:sysClr val="windowText" lastClr="000000"/>
              </a:solidFill>
            </a:rPr>
            <a:t>בשפה יותר פשוטה: אם הספק אומר: ״אסור לך לנסוע עם גלגלים מפונצ׳רים</a:t>
          </a:r>
          <a:r>
            <a:rPr lang="he-IL" b="0" baseline="0">
              <a:solidFill>
                <a:sysClr val="windowText" lastClr="000000"/>
              </a:solidFill>
            </a:rPr>
            <a:t> כי זה הורס את הרכב״. המטרה היא להגן על זכויות הספק בנכס כאשר הוא ישוב אליו (בסוף תקופת החכירה). זה לא נחשב הפרה של זכות השימוש בנכס והכוונת השימוש באופן עקרוני. </a:t>
          </a:r>
          <a:endParaRPr lang="en-US" sz="1100" b="0">
            <a:solidFill>
              <a:sysClr val="windowText" lastClr="000000"/>
            </a:solidFill>
          </a:endParaRPr>
        </a:p>
      </xdr:txBody>
    </xdr:sp>
    <xdr:clientData/>
  </xdr:twoCellAnchor>
  <xdr:twoCellAnchor>
    <xdr:from>
      <xdr:col>0</xdr:col>
      <xdr:colOff>0</xdr:colOff>
      <xdr:row>231</xdr:row>
      <xdr:rowOff>69693</xdr:rowOff>
    </xdr:from>
    <xdr:to>
      <xdr:col>7</xdr:col>
      <xdr:colOff>531880</xdr:colOff>
      <xdr:row>341</xdr:row>
      <xdr:rowOff>53975</xdr:rowOff>
    </xdr:to>
    <xdr:sp macro="" textlink="">
      <xdr:nvSpPr>
        <xdr:cNvPr id="7" name="TextBox 6">
          <a:extLst>
            <a:ext uri="{FF2B5EF4-FFF2-40B4-BE49-F238E27FC236}">
              <a16:creationId xmlns:a16="http://schemas.microsoft.com/office/drawing/2014/main" id="{3506D010-A126-7A3D-254E-0EF21A9A7924}"/>
            </a:ext>
          </a:extLst>
        </xdr:cNvPr>
        <xdr:cNvSpPr txBox="1"/>
      </xdr:nvSpPr>
      <xdr:spPr>
        <a:xfrm>
          <a:off x="13518681620" y="47008893"/>
          <a:ext cx="6310380" cy="2233628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b="1"/>
            <a:t>מקרים לדוגמה - דיון על בסיס העקרונות הנ״ל - זהו את רכיב החכירה (ככל שקיים)</a:t>
          </a:r>
          <a:r>
            <a:rPr lang="he-IL" sz="1100" b="1" baseline="0"/>
            <a:t> בדוגמאות להלן:</a:t>
          </a:r>
          <a:endParaRPr lang="he-IL" sz="1100" b="1"/>
        </a:p>
        <a:p>
          <a:pPr algn="r" rtl="1"/>
          <a:endParaRPr lang="he-IL" sz="1100" b="1"/>
        </a:p>
        <a:p>
          <a:pPr algn="r" rtl="1"/>
          <a:r>
            <a:rPr lang="he-IL" b="1"/>
            <a:t>א. תנאי החוזה קובעים כי הספק יעביר ללקוח זכות להשתמש ב - 10 משאיות מסוימות לתקופה של חמש שנים. המשאיות בבעלות הספק. </a:t>
          </a:r>
        </a:p>
        <a:p>
          <a:pPr algn="r" rtl="1"/>
          <a:r>
            <a:rPr lang="he-IL" b="1"/>
            <a:t>הלקוח קובע: מתי ואיזה סחורות יסופקו במשאיות. </a:t>
          </a:r>
        </a:p>
        <a:p>
          <a:pPr algn="r" rtl="1"/>
          <a:r>
            <a:rPr lang="he-IL" b="1"/>
            <a:t>כשהמשאיות אינן בשימוש הן אצל הלקוח</a:t>
          </a:r>
          <a:r>
            <a:rPr lang="he-IL" b="1" baseline="0"/>
            <a:t> - </a:t>
          </a:r>
          <a:r>
            <a:rPr lang="he-IL" b="1"/>
            <a:t>הלקוח יכול להשתמש במשאיות למטרות אחרות כגון אחסון. </a:t>
          </a:r>
        </a:p>
        <a:p>
          <a:pPr algn="r" rtl="1"/>
          <a:r>
            <a:rPr lang="he-IL" b="1"/>
            <a:t>ההסכם קובע כי הלקוח אינו יכול להוביל במשאיות חומרים דליקים או נפיצים. </a:t>
          </a:r>
        </a:p>
        <a:p>
          <a:pPr algn="r" rtl="1"/>
          <a:r>
            <a:rPr lang="he-IL" b="1"/>
            <a:t>במידה ומשאית מסוימת צריכה תחזוקה או תיקונים, הספק מחויב לספק רכב חלופי. </a:t>
          </a:r>
        </a:p>
        <a:p>
          <a:pPr algn="r" rtl="1"/>
          <a:endParaRPr lang="he-IL" b="1"/>
        </a:p>
        <a:p>
          <a:pPr algn="r" rtl="1"/>
          <a:r>
            <a:rPr lang="he-IL" b="1"/>
            <a:t>כמו כן, ההסכם קובע כי הספק יספק מנועים לפי דרישת הלקוח. </a:t>
          </a:r>
        </a:p>
        <a:p>
          <a:pPr algn="r" rtl="1"/>
          <a:r>
            <a:rPr lang="he-IL" b="1"/>
            <a:t>המנועים מאוחסנים במחסני הספק והספק יכול לבחור איזה מהמנועים לספק ללקוח ואיזה לספק ללקוחות אחרים. </a:t>
          </a:r>
        </a:p>
        <a:p>
          <a:pPr algn="r" rtl="1"/>
          <a:endParaRPr lang="he-IL"/>
        </a:p>
        <a:p>
          <a:pPr algn="r" rtl="1"/>
          <a:r>
            <a:rPr lang="he-IL" u="sng"/>
            <a:t>פתרון א:</a:t>
          </a:r>
        </a:p>
        <a:p>
          <a:pPr algn="r" rtl="1"/>
          <a:r>
            <a:rPr lang="he-IL"/>
            <a:t>החוזה כולל שני רכיבים: </a:t>
          </a:r>
        </a:p>
        <a:p>
          <a:pPr algn="r" rtl="1"/>
          <a:r>
            <a:rPr lang="he-IL"/>
            <a:t>- אספקת מנועים </a:t>
          </a:r>
        </a:p>
        <a:p>
          <a:pPr algn="r" rtl="1"/>
          <a:r>
            <a:rPr lang="he-IL"/>
            <a:t>-</a:t>
          </a:r>
          <a:r>
            <a:rPr lang="he-IL" baseline="0"/>
            <a:t> </a:t>
          </a:r>
          <a:r>
            <a:rPr lang="he-IL"/>
            <a:t>זכות להשתמש במשאיות. </a:t>
          </a:r>
        </a:p>
        <a:p>
          <a:pPr algn="r" rtl="1"/>
          <a:endParaRPr lang="he-IL"/>
        </a:p>
        <a:p>
          <a:pPr algn="r" rtl="1"/>
          <a:r>
            <a:rPr lang="he-IL"/>
            <a:t>הרכיב שמתייחס לאספקת מנועים אינו מהווה חכירה משום שהמנועים אינם מקיימים את ההגדרה של נכס מזוהה - הם אינם מוגדרים באופן ספציפי והספק יכול לקבוע איזה מנוע יסופק. </a:t>
          </a:r>
        </a:p>
        <a:p>
          <a:pPr algn="r" rtl="1"/>
          <a:endParaRPr lang="he-IL"/>
        </a:p>
        <a:p>
          <a:pPr algn="r" rtl="1"/>
          <a:r>
            <a:rPr lang="he-IL"/>
            <a:t>הזכות להשתמש במשאיות מהווה חכירה כי:</a:t>
          </a:r>
        </a:p>
        <a:p>
          <a:pPr algn="r" rtl="1"/>
          <a:r>
            <a:rPr lang="he-IL"/>
            <a:t>קריטריון</a:t>
          </a:r>
          <a:r>
            <a:rPr lang="he-IL" baseline="0"/>
            <a:t> 1- </a:t>
          </a:r>
          <a:r>
            <a:rPr lang="he-IL"/>
            <a:t> הנכס הוא נכס </a:t>
          </a:r>
          <a:r>
            <a:rPr lang="he-IL">
              <a:solidFill>
                <a:srgbClr val="FF0000"/>
              </a:solidFill>
            </a:rPr>
            <a:t>מזוהה</a:t>
          </a:r>
          <a:r>
            <a:rPr lang="he-IL"/>
            <a:t> בכך שהוא מוגדר במפורש בחוזה (משאיות ספציפיות). </a:t>
          </a:r>
        </a:p>
        <a:p>
          <a:pPr algn="r" rtl="1"/>
          <a:r>
            <a:rPr lang="he-IL"/>
            <a:t>בנוסף,</a:t>
          </a:r>
          <a:r>
            <a:rPr lang="he-IL" baseline="0"/>
            <a:t> למרות שלכאורה לספק יש מחויבות להחליף - הרי שמחויבות זו </a:t>
          </a:r>
          <a:r>
            <a:rPr lang="he-IL"/>
            <a:t>היא רק לצורך תחזוקה או תיקונים לא מדובר על ״זכות ממשית״</a:t>
          </a:r>
          <a:r>
            <a:rPr lang="he-IL" baseline="0"/>
            <a:t> להחלפה בתקן (קרי כזו שהיא ביוזמת הספק או נובעת מאינטרס כלכלי ברור שלו)</a:t>
          </a:r>
          <a:r>
            <a:rPr lang="he-IL"/>
            <a:t>; </a:t>
          </a:r>
        </a:p>
        <a:p>
          <a:pPr algn="r" rtl="1"/>
          <a:r>
            <a:rPr lang="he-IL"/>
            <a:t>לפיכך מבחן הנכס המזוהה עבר בהצלחה :)</a:t>
          </a:r>
        </a:p>
        <a:p>
          <a:pPr algn="r" rtl="1"/>
          <a:endParaRPr lang="he-IL"/>
        </a:p>
        <a:p>
          <a:pPr algn="r" rtl="1"/>
          <a:r>
            <a:rPr lang="he-IL"/>
            <a:t>קריטריון 2 - שליטה בהטבות: </a:t>
          </a:r>
          <a:r>
            <a:rPr lang="he-IL">
              <a:solidFill>
                <a:srgbClr val="00B050"/>
              </a:solidFill>
            </a:rPr>
            <a:t>מתקיים</a:t>
          </a:r>
          <a:r>
            <a:rPr lang="he-IL"/>
            <a:t> ללקוח יש זכות לקבל את כל ההטבות הכלכליות בתקופת החוזה. </a:t>
          </a:r>
        </a:p>
        <a:p>
          <a:pPr algn="r" rtl="1"/>
          <a:endParaRPr lang="he-IL"/>
        </a:p>
        <a:p>
          <a:pPr algn="r" rtl="1"/>
          <a:r>
            <a:rPr lang="he-IL"/>
            <a:t>קריטריון 3 - הכוון (סוג) השימוש: </a:t>
          </a:r>
          <a:r>
            <a:rPr lang="he-IL" b="1">
              <a:solidFill>
                <a:srgbClr val="7030A0"/>
              </a:solidFill>
            </a:rPr>
            <a:t>מתקיים</a:t>
          </a:r>
          <a:r>
            <a:rPr lang="he-IL" baseline="0"/>
            <a:t> -</a:t>
          </a:r>
          <a:r>
            <a:rPr lang="he-IL"/>
            <a:t> הלקוח יכול לכוון את השימוש בנכס כי יש לו זכות לקבוע מתי ואיזה סחורות יסופקו ויכול להשתמש במשאיות לאחסון. </a:t>
          </a:r>
        </a:p>
        <a:p>
          <a:pPr algn="r" rtl="1"/>
          <a:r>
            <a:rPr lang="he-IL"/>
            <a:t>ההגבלה בחוזה שאוסרת העברת חומרים דליקים או נפיצים הינה זכות </a:t>
          </a:r>
          <a:r>
            <a:rPr lang="he-IL" b="1" u="sng"/>
            <a:t>מגינה</a:t>
          </a:r>
          <a:r>
            <a:rPr lang="he-IL"/>
            <a:t> לכן היא אינה משפיעה על יכולת הלקוח לכוון את השימוש. </a:t>
          </a:r>
        </a:p>
        <a:p>
          <a:pPr algn="r" rtl="1"/>
          <a:endParaRPr lang="he-IL"/>
        </a:p>
        <a:p>
          <a:pPr algn="r" rtl="1"/>
          <a:r>
            <a:rPr lang="he-IL" b="1"/>
            <a:t>ב. רשת בתי קפה (הלקוח) חתמה על חוזה עם מפעיל שדה תעופה (ספק) המעניק ללקוח זכות להעמיד דוכן לממכר קפה בשדה התעופה למשך שלוש שנים. החוזה מפרט את השטח המוקצה לדוכן. הדוכן יכול להיות ממוקם לצד אחת מעמדות העלייה למטוס. לספק יש זכות לשנות את מיקום הדוכן במהלך התקופה, והעלויות של הספק בגין העברת הדוכן אינן מהותיות. שדה התעופה כולל אזורים רבים המתאימים למיקום הדוכן. </a:t>
          </a:r>
        </a:p>
        <a:p>
          <a:pPr algn="r" rtl="1"/>
          <a:endParaRPr lang="he-IL" b="1"/>
        </a:p>
        <a:p>
          <a:pPr marL="0" marR="0" lvl="0" indent="0" algn="r" defTabSz="914400" rtl="1" eaLnBrk="1" fontAlgn="auto" latinLnBrk="0" hangingPunct="1">
            <a:lnSpc>
              <a:spcPct val="100000"/>
            </a:lnSpc>
            <a:spcBef>
              <a:spcPts val="0"/>
            </a:spcBef>
            <a:spcAft>
              <a:spcPts val="0"/>
            </a:spcAft>
            <a:buClrTx/>
            <a:buSzTx/>
            <a:buFontTx/>
            <a:buNone/>
            <a:tabLst/>
            <a:defRPr/>
          </a:pPr>
          <a:r>
            <a:rPr lang="he-IL" u="sng"/>
            <a:t>פתרון ב:</a:t>
          </a:r>
          <a:endParaRPr lang="he-IL" b="1"/>
        </a:p>
        <a:p>
          <a:pPr algn="r" rtl="1"/>
          <a:r>
            <a:rPr lang="he-IL" b="0"/>
            <a:t>לכאורה, החוזה</a:t>
          </a:r>
          <a:r>
            <a:rPr lang="he-IL" b="0" baseline="0"/>
            <a:t> מפרט את השטח המוקצה לדוכן; וניתן בהחלט לייחס לכך פרשנות של זיהוי. </a:t>
          </a:r>
        </a:p>
        <a:p>
          <a:pPr algn="r" rtl="1"/>
          <a:r>
            <a:rPr lang="he-IL" b="0" baseline="0"/>
            <a:t>יחד עם זאת, נכשלים באופן חריף במבחן הזיהוי, לאור זכות ההחלפה הממשית שקיימת לספק. </a:t>
          </a:r>
        </a:p>
        <a:p>
          <a:pPr algn="r" rtl="1"/>
          <a:r>
            <a:rPr lang="he-IL" b="0" baseline="0"/>
            <a:t>מדוע? ההגדרה של זכות החלפה ממשית אומרת:</a:t>
          </a:r>
        </a:p>
        <a:p>
          <a:pPr algn="r" rtl="1"/>
          <a:r>
            <a:rPr lang="he-IL" b="0" baseline="0"/>
            <a:t>- הספק יכול להחליף לפי שיקול דעתו; </a:t>
          </a:r>
        </a:p>
        <a:p>
          <a:pPr algn="r" rtl="1"/>
          <a:r>
            <a:rPr lang="he-IL" b="0" baseline="0"/>
            <a:t>- יש לו חלופות מעשיות להחלפה (מיקומים אחרים המתאימים לעמדת הקפה)</a:t>
          </a:r>
        </a:p>
        <a:p>
          <a:pPr algn="r" rtl="1"/>
          <a:r>
            <a:rPr lang="he-IL" b="0" baseline="0"/>
            <a:t>- יש לו (ועשוי להיו לו) תמריץ כלכלי בולט להחלפה, שכן עלויות ההחלפה זניחות. </a:t>
          </a:r>
          <a:endParaRPr lang="he-IL" b="0"/>
        </a:p>
        <a:p>
          <a:pPr algn="r" rtl="1"/>
          <a:r>
            <a:rPr lang="he-IL" b="0"/>
            <a:t>לאור כל אלו נקבע כי לספק יש זכות החלפה ממשית, ובמצב כזה, הנכס יוגדר ככזה </a:t>
          </a:r>
          <a:r>
            <a:rPr lang="he-IL" b="1"/>
            <a:t>שאינו נכס מזוהה והחוזה אינו מהווה חוזה חכירה.</a:t>
          </a:r>
        </a:p>
        <a:p>
          <a:pPr algn="r" rtl="1"/>
          <a:endParaRPr lang="he-IL"/>
        </a:p>
        <a:p>
          <a:pPr algn="r" rtl="1"/>
          <a:r>
            <a:rPr lang="he-IL" b="1"/>
            <a:t>ג. לקוח חתם על הסכם עם ספק לתקופה של 15 שנים המעניק ללקוח זכות שימוש בכבל תת ימי בין ישראל לבין צרפת בהיקף השקול לשימוש בשלושה סיבים אופטיים. </a:t>
          </a:r>
        </a:p>
        <a:p>
          <a:pPr algn="r" rtl="1"/>
          <a:r>
            <a:rPr lang="he-IL" b="1"/>
            <a:t>הספק קובע באילו סיבים אופטיים ישתמש הלקוח - והספק יכול לשנות את החלטתו במהלך תקופת השימוש. </a:t>
          </a:r>
        </a:p>
        <a:p>
          <a:pPr algn="r" rtl="1"/>
          <a:endParaRPr lang="he-IL"/>
        </a:p>
        <a:p>
          <a:pPr algn="r" rtl="1"/>
          <a:r>
            <a:rPr lang="he-IL" u="sng"/>
            <a:t>פתרון ג:</a:t>
          </a:r>
          <a:endParaRPr lang="he-IL"/>
        </a:p>
        <a:p>
          <a:pPr algn="r" rtl="1"/>
          <a:r>
            <a:rPr lang="he-IL"/>
            <a:t>מאחר ולספק יש זכות החלפה ממשית, הנכס אינו נכס מזוהה והחוזה אינו מהווה חוזה חכירה. </a:t>
          </a:r>
        </a:p>
        <a:p>
          <a:pPr algn="r" rtl="1"/>
          <a:endParaRPr lang="he-IL"/>
        </a:p>
        <a:p>
          <a:pPr algn="r" rtl="1"/>
          <a:endParaRPr lang="he-IL"/>
        </a:p>
        <a:p>
          <a:pPr algn="r" rtl="1"/>
          <a:r>
            <a:rPr lang="he-IL" b="1"/>
            <a:t>ד. לקוח חתם על הסכם עם ספק לשימוש במחסן לתקופה של 5 שנים. </a:t>
          </a:r>
        </a:p>
        <a:p>
          <a:pPr algn="r" rtl="1"/>
          <a:r>
            <a:rPr lang="he-IL" b="1"/>
            <a:t>המחסן ממוקם במבנה הכולל מספר רב של מחסנים בבעלות הספק. </a:t>
          </a:r>
        </a:p>
        <a:p>
          <a:pPr algn="r" rtl="1"/>
          <a:r>
            <a:rPr lang="he-IL" b="1"/>
            <a:t>לספק יש זכות לדרוש מהלקוח לעבור למחסן אחר ואז לשלם את </a:t>
          </a:r>
          <a:r>
            <a:rPr lang="he-IL" b="1" u="sng"/>
            <a:t>עלויות המיקום מחדש</a:t>
          </a:r>
          <a:r>
            <a:rPr lang="he-IL" b="1"/>
            <a:t>. </a:t>
          </a:r>
        </a:p>
        <a:p>
          <a:pPr algn="r" rtl="1"/>
          <a:endParaRPr lang="he-IL" b="1"/>
        </a:p>
        <a:p>
          <a:pPr algn="r" rtl="1"/>
          <a:r>
            <a:rPr lang="he-IL" b="1"/>
            <a:t>הספק יקבל הטבות כלכליות מהעברת הלקוח רק אם לקוח גדול מאוד יחליט לרכוש שטח גדול של אחסון בשיעור שיכסה את עלויות העברת הלקוח ודיירים אחרים באותו שטח. </a:t>
          </a:r>
        </a:p>
        <a:p>
          <a:pPr algn="r" rtl="1"/>
          <a:endParaRPr lang="he-IL" b="1"/>
        </a:p>
        <a:p>
          <a:pPr algn="r" rtl="1"/>
          <a:r>
            <a:rPr lang="he-IL" b="1"/>
            <a:t>בעת ההתקשרות בחוזה לא סביר שמצב כזה יתרחש, אולם מצב כזה אפשרי. </a:t>
          </a:r>
        </a:p>
        <a:p>
          <a:pPr algn="r" rtl="1"/>
          <a:endParaRPr lang="he-IL" b="1"/>
        </a:p>
        <a:p>
          <a:pPr algn="r" rtl="1"/>
          <a:r>
            <a:rPr lang="he-IL" b="1"/>
            <a:t>כמו כן, ההסכם מגביל את שעות השימוש במחסן לשעות בהן המבנה פתוח, וללקוח יש זכות לקבוע איזה תמהיל של סחורות יאוחסנו במחסן, את הכמויות שלהן ואת מחירי המכירה שלהן. בהתאם להסכם, התשלומים יכללו סכום קבוע בתוספת שיעור מסוים מההכנסות ממכירת הסחורות המאוחסנות במחסן. </a:t>
          </a:r>
        </a:p>
        <a:p>
          <a:pPr algn="r" rtl="1"/>
          <a:endParaRPr lang="he-IL"/>
        </a:p>
        <a:p>
          <a:pPr algn="r" rtl="1"/>
          <a:r>
            <a:rPr lang="he-IL" u="sng"/>
            <a:t>פתרון ד:</a:t>
          </a:r>
        </a:p>
        <a:p>
          <a:pPr algn="r" rtl="1"/>
          <a:r>
            <a:rPr lang="he-IL"/>
            <a:t>מבחן הזיהוי</a:t>
          </a:r>
          <a:r>
            <a:rPr lang="he-IL" baseline="0"/>
            <a:t> - עובר בהצלחה: </a:t>
          </a:r>
          <a:r>
            <a:rPr lang="he-IL"/>
            <a:t>לספק יש זכות החלפה אולם הוא יכול להפיק ממנה הטבות כלכליות רק בתרחיש שלא סביר שיתרחש, לפיכך זכות ההחלפה אינה זכות ממשית. </a:t>
          </a:r>
        </a:p>
        <a:p>
          <a:pPr algn="r" rtl="1"/>
          <a:endParaRPr lang="he-IL"/>
        </a:p>
        <a:p>
          <a:pPr algn="r" rtl="1"/>
          <a:r>
            <a:rPr lang="he-IL"/>
            <a:t>מבחן השליטה בהטבות - מתקיים:</a:t>
          </a:r>
          <a:r>
            <a:rPr lang="he-IL" baseline="0"/>
            <a:t> </a:t>
          </a:r>
          <a:r>
            <a:rPr lang="he-IL"/>
            <a:t>כמו כן, ללקוח יש זכות להשיג את ההטבות הכלכליות מהשימוש בנכס במהלך התקופה, </a:t>
          </a:r>
          <a:r>
            <a:rPr lang="he-IL" u="sng"/>
            <a:t>למרות שחלק מההכנסות ישולמו לספק </a:t>
          </a:r>
          <a:r>
            <a:rPr lang="he-IL"/>
            <a:t>כי רואים את אותו חלק </a:t>
          </a:r>
          <a:r>
            <a:rPr lang="he-IL" u="sng"/>
            <a:t>כהוצאות המשולמות לגורם אחר</a:t>
          </a:r>
          <a:r>
            <a:rPr lang="he-IL"/>
            <a:t>. </a:t>
          </a:r>
        </a:p>
        <a:p>
          <a:pPr algn="r" rtl="1"/>
          <a:endParaRPr lang="he-IL"/>
        </a:p>
        <a:p>
          <a:pPr algn="r" rtl="1"/>
          <a:r>
            <a:rPr lang="he-IL"/>
            <a:t>מבחן ההכוון - </a:t>
          </a:r>
          <a:r>
            <a:rPr lang="he-IL" u="sng"/>
            <a:t>מתקיים</a:t>
          </a:r>
          <a:r>
            <a:rPr lang="he-IL"/>
            <a:t>: ללקוח יש זכות לכוון את השימוש בנכס, בכפוף למגבלות בשעות השימוש שנקבעו מראש (כי זו מגבלה של היקף חוזה החכירה, ולא ״מה עושים״ בתוך ההיקף הזה)</a:t>
          </a:r>
          <a:r>
            <a:rPr lang="he-IL" baseline="0"/>
            <a:t> ולאור האזכור המפורש שהלקוח</a:t>
          </a:r>
          <a:r>
            <a:rPr lang="he-IL"/>
            <a:t> יכול לקבוע איזה סחורות יאוחסנו, כמויות ומחירי מכירה שלהן. </a:t>
          </a:r>
        </a:p>
        <a:p>
          <a:pPr algn="r" rtl="1"/>
          <a:endParaRPr lang="he-IL"/>
        </a:p>
        <a:p>
          <a:pPr algn="r" rtl="1"/>
          <a:r>
            <a:rPr lang="he-IL"/>
            <a:t>מסקנה – החוזה הינו חוזה חכירה. </a:t>
          </a:r>
        </a:p>
        <a:p>
          <a:pPr algn="r" rtl="1"/>
          <a:endParaRPr lang="he-IL"/>
        </a:p>
        <a:p>
          <a:pPr algn="r" rtl="1"/>
          <a:r>
            <a:rPr lang="he-IL" b="1"/>
            <a:t>ה. לקוח חתם על הסכם שכירות של משאית ספציפית לשבוע אחד לצורך הובלת סחורות ממטולה לאילת. </a:t>
          </a:r>
        </a:p>
        <a:p>
          <a:pPr algn="r" rtl="1"/>
          <a:r>
            <a:rPr lang="he-IL" b="1"/>
            <a:t>לספק אין זכויות החלפה. </a:t>
          </a:r>
        </a:p>
        <a:p>
          <a:pPr algn="r" rtl="1"/>
          <a:r>
            <a:rPr lang="he-IL" b="1"/>
            <a:t>ניתן להעביר במשאית רק סחורות מסוג מסוים שנקבע בחוזה, וההסכם קובע מגבלת קילומטרים לשימוש. ללקוח יש יכולת לקבוע את תכניות הנסיעה. </a:t>
          </a:r>
        </a:p>
        <a:p>
          <a:pPr algn="r" rtl="1"/>
          <a:endParaRPr lang="he-IL"/>
        </a:p>
        <a:p>
          <a:pPr algn="r" rtl="1"/>
          <a:r>
            <a:rPr lang="he-IL" u="sng"/>
            <a:t>פתרון ה:</a:t>
          </a:r>
        </a:p>
        <a:p>
          <a:pPr algn="r" rtl="1"/>
          <a:r>
            <a:rPr lang="he-IL"/>
            <a:t>מבחן הזיהוי - מתקיים. מדובר</a:t>
          </a:r>
          <a:r>
            <a:rPr lang="he-IL" baseline="0"/>
            <a:t> במשאית ספציפית, והיעדר זכויות ההחלפה מעיד על כך.</a:t>
          </a:r>
        </a:p>
        <a:p>
          <a:pPr algn="r" rtl="1"/>
          <a:r>
            <a:rPr lang="he-IL" baseline="0"/>
            <a:t>מבחן השליטה - מי שמפיק את ההטבה מהחזקת המשאית הוא החוכר. </a:t>
          </a:r>
        </a:p>
        <a:p>
          <a:pPr algn="r" rtl="1"/>
          <a:r>
            <a:rPr lang="he-IL" baseline="0"/>
            <a:t>מבחן ההכוון - ניתן לקבל 2 פרשנויות:</a:t>
          </a:r>
        </a:p>
        <a:p>
          <a:pPr algn="r" rtl="1"/>
          <a:r>
            <a:rPr lang="he-IL" baseline="0"/>
            <a:t>פרשנות א: למעשה המושג ״סחורות מסוג מסוים״ בסך הכל מהווה מגבלה טבעית שמונעת הובלה של מוצרים שמסוכנים ו/או עלולים להזיק למכונית ו/או לנוסעים ו/או אינם מתואמים עם דרישות החוק. מגבלות כאלו אינן מהוות הפרה בוטה של זכות ההכוון, ואינן שוללות את הגדרת ההכוון.</a:t>
          </a:r>
        </a:p>
        <a:p>
          <a:pPr algn="r" rtl="1"/>
          <a:r>
            <a:rPr lang="he-IL" baseline="0"/>
            <a:t>פרשנות ב: אם המושג ״סחורות מסוג מסוים״ מכווץ מאד ושלא כדין את היכולת של החוכר להשתמש בנכס (למשל: ״ניתן להוביל רק טיקטוקרים בני יומיים״) אזי כמובן שלא נוכל להתייחס ליכולת ההכוון בחברה כמתקיימת. </a:t>
          </a:r>
        </a:p>
        <a:p>
          <a:pPr algn="r" rtl="1"/>
          <a:r>
            <a:rPr lang="he-IL" baseline="0"/>
            <a:t>הפרשנות המקובלת בפרקטיקה - בגדול אומרת: ״אם אמרו לך מראש ובצורה ברורה ושקופה בדיוק מה אתה יכול להוביל, למעשה לא באמת הגבילו או התערבו לך, אלא רק הגדירו לך היקף״.  לכן ככלל מבחן ההכוון מתקיים. </a:t>
          </a:r>
        </a:p>
        <a:p>
          <a:pPr algn="r" rtl="1"/>
          <a:endParaRPr lang="he-IL" baseline="0"/>
        </a:p>
        <a:p>
          <a:pPr algn="r" rtl="1"/>
          <a:r>
            <a:rPr lang="he-IL" i="1" baseline="0"/>
            <a:t>בקצרה: ״אובדן הכוון״ מתקיים באופן מובהק בעיקר במצבים שבהם הספק יכול להתערב בצורה בוטה וכזו שלא הוגדרה באופן מפורש מראש בהסכם החכירה. ברוב המצבים האחרים, מדובר במגבלת היקף ולא בהתערבות, ומבחן ההכוון כן יתקיים. </a:t>
          </a:r>
          <a:endParaRPr lang="he-IL" i="1"/>
        </a:p>
        <a:p>
          <a:pPr algn="r" rtl="1"/>
          <a:endParaRPr lang="he-IL"/>
        </a:p>
        <a:p>
          <a:pPr algn="r" rtl="1"/>
          <a:r>
            <a:rPr lang="he-IL" b="1"/>
            <a:t>ו. לקוח חתם על הסכם עם חברת הובלה ימית להעביר מטען מחיפה לאמסטרדם בספינה מסוימת שנקבעה בחוזה והספק אינו יכול להחליפה. </a:t>
          </a:r>
        </a:p>
        <a:p>
          <a:pPr algn="r" rtl="1"/>
          <a:r>
            <a:rPr lang="he-IL" b="1"/>
            <a:t>המטען יתפוס באופן מהותי את כל קיבולת הספינה. </a:t>
          </a:r>
        </a:p>
        <a:p>
          <a:pPr algn="r" rtl="1"/>
          <a:r>
            <a:rPr lang="he-IL" b="1"/>
            <a:t>החוזה מפרט את המטען שיועבר ואת תאריכי הטעינה והפריקה. הספק מפעיל ומתחזק את הספינה ואחראי על העברה בטוחה של המטען ואין ללקוח יכולת לשכור מפעיל אחר לספינה או להפעיל את הספינה בעצמו. </a:t>
          </a:r>
        </a:p>
        <a:p>
          <a:pPr algn="r" rtl="1"/>
          <a:endParaRPr lang="he-IL"/>
        </a:p>
        <a:p>
          <a:pPr algn="r" rtl="1"/>
          <a:r>
            <a:rPr lang="he-IL" u="sng"/>
            <a:t>פתרון ו:</a:t>
          </a:r>
        </a:p>
        <a:p>
          <a:pPr algn="r" rtl="1"/>
          <a:r>
            <a:rPr lang="he-IL"/>
            <a:t>הנכס מזוהה וללקוח יש זכות להשיג את כל ההטבות הכלכליות מהשימוש בנכס בתקופת החוזה. </a:t>
          </a:r>
        </a:p>
        <a:p>
          <a:pPr algn="r" rtl="1"/>
          <a:r>
            <a:rPr lang="he-IL"/>
            <a:t>עם זאת, ללקוח אין זכות לכוון את השימוש בנכס כי ההחלטות הרלוונטיות לגבי אופן השימוש בנכס ומטרתו נקבעו מראש:</a:t>
          </a:r>
        </a:p>
        <a:p>
          <a:pPr algn="r" rtl="1"/>
          <a:endParaRPr lang="he-IL"/>
        </a:p>
        <a:p>
          <a:pPr algn="r" rtl="1"/>
          <a:r>
            <a:rPr lang="he-IL"/>
            <a:t>נשאלת השאלה, מה פשר המשפט ״אין ללקוח יכולת לשכור מפעיל אחר לספינה״:</a:t>
          </a:r>
        </a:p>
        <a:p>
          <a:pPr algn="r" rtl="1"/>
          <a:r>
            <a:rPr lang="he-IL"/>
            <a:t>א. אם הכוונה היא: ״נדרשות</a:t>
          </a:r>
          <a:r>
            <a:rPr lang="he-IL" baseline="0"/>
            <a:t> מומחיות מיוחדת לגיוס מתפעלים של ספינות ומטענים מסוג זה; החברה לא מסוגלת תפעולית לגייס, להכשיר ולנהל את כל המהלך הלוגיסטי הזה״ - אז כמובן מדובר בשירות נלווה מטעם הספק שלא סותר את יכולת החברה לבצע את השימוש בנכס כרצונה. במקרה שכזה, כמובן שמדובר בהסכם חכירה.</a:t>
          </a:r>
        </a:p>
        <a:p>
          <a:pPr algn="r" rtl="1"/>
          <a:endParaRPr lang="he-IL" baseline="0"/>
        </a:p>
        <a:p>
          <a:pPr algn="r" rtl="1"/>
          <a:r>
            <a:rPr lang="he-IL" baseline="0"/>
            <a:t>ב. אם הכוונה היא: ״החוזה הוא זה שקובע כי אסור לחברה לבצע את התפעול בעצמה״ (גם אם היא מסוגלת לכך) מהווה דווקא התערבות בוטה ביכולת להשתמש בנכס ולתפעלו באופן שהישות מעוניינת בו. במצב כזה, לא מדובר בהסכם חכירה. </a:t>
          </a:r>
          <a:endParaRPr lang="he-IL"/>
        </a:p>
        <a:p>
          <a:pPr algn="r" rtl="1"/>
          <a:endParaRPr lang="he-IL"/>
        </a:p>
        <a:p>
          <a:pPr algn="r" rtl="1"/>
          <a:r>
            <a:rPr lang="he-IL" b="1"/>
            <a:t>ז. לקוח חתם על הסכם עם חברת הובלה ימית לשימוש בספינה מסוימת (ללא יכולת החלפה) לתקופה של 4 שנים. </a:t>
          </a:r>
        </a:p>
        <a:p>
          <a:pPr algn="r" rtl="1"/>
          <a:r>
            <a:rPr lang="he-IL" b="1"/>
            <a:t>הלקוח קובע איזו סחורה תועבר בספינה ולאיזה יעדים, בכפוף למגבלות מסוימות המונעות ממנו להשתמש בנתיבים </a:t>
          </a:r>
          <a:r>
            <a:rPr lang="he-IL" b="1" u="sng"/>
            <a:t>בעלי סיכון גבוה לשוד ימי וכן להעביר חומרים מסוכנים</a:t>
          </a:r>
          <a:r>
            <a:rPr lang="he-IL" b="1"/>
            <a:t>. הספק מפעיל ומתחזק את הספינה ואחראי על הטעינה והפריקה של הסחורה לספינה וממנה. בהתאם לחוזה, הלקוח יכול לשכור מפעיל אחר לספינה או להפעיל את הספינה בעצמו, אלא שהחליט שהתפעול בפועל יבוצע על ידי הספק, וזאת לאור מחסור בקברניטים. </a:t>
          </a:r>
        </a:p>
        <a:p>
          <a:pPr algn="r" rtl="1"/>
          <a:endParaRPr lang="he-IL"/>
        </a:p>
        <a:p>
          <a:pPr algn="r" rtl="1"/>
          <a:r>
            <a:rPr lang="he-IL" u="sng"/>
            <a:t>פתרון ז:</a:t>
          </a:r>
        </a:p>
        <a:p>
          <a:pPr algn="r" rtl="1"/>
          <a:r>
            <a:rPr lang="he-IL"/>
            <a:t>הנכס מזוהה וללקוח יש זכות להשיג את כל ההטבות הכלכליות מהשימוש בנכס בתקופת החוזה. כמו כן, ללקוח יש זכות לכוון את השימוש בנכס כי הוא קובע איזו סחורה תועבר ואת היעדים. המגבלות ביחס לנתיבים בעלי סיכון גבוה ובעניין העברת חומרים מסוכנים הינן זכויות מגנות. אין הכרח שהלקוח יתפעל בעצמו את הנכס על מנת לקבוע שיש לו זכות לכוון את השימוש.</a:t>
          </a:r>
        </a:p>
        <a:p>
          <a:pPr algn="r" rtl="1"/>
          <a:endParaRPr lang="he-IL" sz="1100"/>
        </a:p>
        <a:p>
          <a:pPr algn="r" rtl="1"/>
          <a:endParaRPr lang="en-US" sz="1100"/>
        </a:p>
      </xdr:txBody>
    </xdr:sp>
    <xdr:clientData/>
  </xdr:twoCellAnchor>
  <xdr:twoCellAnchor>
    <xdr:from>
      <xdr:col>0</xdr:col>
      <xdr:colOff>0</xdr:colOff>
      <xdr:row>341</xdr:row>
      <xdr:rowOff>180976</xdr:rowOff>
    </xdr:from>
    <xdr:to>
      <xdr:col>7</xdr:col>
      <xdr:colOff>680720</xdr:colOff>
      <xdr:row>396</xdr:row>
      <xdr:rowOff>62442</xdr:rowOff>
    </xdr:to>
    <xdr:sp macro="" textlink="">
      <xdr:nvSpPr>
        <xdr:cNvPr id="8" name="TextBox 7">
          <a:extLst>
            <a:ext uri="{FF2B5EF4-FFF2-40B4-BE49-F238E27FC236}">
              <a16:creationId xmlns:a16="http://schemas.microsoft.com/office/drawing/2014/main" id="{B7CBE0D1-9C7C-D348-A8EC-B6ACDA67FB90}"/>
            </a:ext>
          </a:extLst>
        </xdr:cNvPr>
        <xdr:cNvSpPr txBox="1"/>
      </xdr:nvSpPr>
      <xdr:spPr>
        <a:xfrm>
          <a:off x="13518532780" y="69472176"/>
          <a:ext cx="6459220" cy="98382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הפרדת רכיבים של חוזה, יישום לתיק ושילוב של חוזים </a:t>
          </a:r>
          <a:endParaRPr lang="he-IL" sz="1400"/>
        </a:p>
        <a:p>
          <a:pPr algn="r" rtl="1"/>
          <a:r>
            <a:rPr lang="he-IL"/>
            <a:t>א. אם חוזה כולל זכויות לשימוש בכמה נכסים, </a:t>
          </a:r>
        </a:p>
        <a:p>
          <a:pPr algn="r" rtl="1"/>
          <a:r>
            <a:rPr lang="he-IL"/>
            <a:t>הזכות לשימוש בכל נכס נחשבת </a:t>
          </a:r>
          <a:r>
            <a:rPr lang="he-IL" u="sng"/>
            <a:t>רכיב נפרד של חוזה חכירה </a:t>
          </a:r>
          <a:r>
            <a:rPr lang="he-IL" b="1">
              <a:solidFill>
                <a:srgbClr val="FF0000"/>
              </a:solidFill>
            </a:rPr>
            <a:t>אם</a:t>
          </a:r>
          <a:r>
            <a:rPr lang="he-IL"/>
            <a:t> החוכר יכול לקבל הטבות כלכליות משימוש בנכס בנפרד או יחד עם משאבים אחרים שניתנים להשגה בנקל; וכן </a:t>
          </a:r>
        </a:p>
        <a:p>
          <a:pPr algn="r" rtl="1"/>
          <a:r>
            <a:rPr lang="he-IL"/>
            <a:t>שהנכס אינו תלוי במידה רבה בנכס אחר. </a:t>
          </a:r>
        </a:p>
        <a:p>
          <a:pPr algn="r" rtl="1"/>
          <a:endParaRPr lang="he-IL" b="1" u="sng"/>
        </a:p>
        <a:p>
          <a:pPr algn="r" rtl="1"/>
          <a:r>
            <a:rPr lang="he-IL" b="1" u="sng"/>
            <a:t>לדוגמה</a:t>
          </a:r>
          <a:r>
            <a:rPr lang="he-IL"/>
            <a:t>, </a:t>
          </a:r>
        </a:p>
        <a:p>
          <a:pPr algn="r" rtl="1"/>
          <a:r>
            <a:rPr lang="he-IL"/>
            <a:t>אם חוכר חתם על הסכם לחכירת מכונה לחימום נקניק </a:t>
          </a:r>
        </a:p>
        <a:p>
          <a:pPr algn="r" rtl="1"/>
          <a:r>
            <a:rPr lang="he-IL"/>
            <a:t>וגם לחכירת עזרים החיוניים להפעלת המכונה (כגון מברשת לניקוי שאריות פופיק שרוף) </a:t>
          </a:r>
        </a:p>
        <a:p>
          <a:pPr algn="r" rtl="1"/>
          <a:r>
            <a:rPr lang="he-IL"/>
            <a:t>החוזה כולל רק רכיב אחד של חכירה. </a:t>
          </a:r>
        </a:p>
        <a:p>
          <a:pPr algn="r" rtl="1"/>
          <a:endParaRPr lang="he-IL"/>
        </a:p>
        <a:p>
          <a:pPr algn="r" rtl="1"/>
          <a:r>
            <a:rPr lang="he-IL"/>
            <a:t>לעומת זאת, אם החוכר חתם על הסכם לחכירת בניין וציוד, הוא כולל שני רכיבים של חכירה. </a:t>
          </a:r>
        </a:p>
        <a:p>
          <a:pPr algn="r" rtl="1"/>
          <a:endParaRPr lang="he-IL"/>
        </a:p>
        <a:p>
          <a:pPr algn="r" rtl="1"/>
          <a:r>
            <a:rPr lang="he-IL"/>
            <a:t>ב. אם חוזה כולל רכיבי חכירה </a:t>
          </a:r>
          <a:r>
            <a:rPr lang="he-IL" u="sng"/>
            <a:t>ורכיבים שאינם חכירה</a:t>
          </a:r>
          <a:r>
            <a:rPr lang="he-IL"/>
            <a:t>, יש לטפל בכל רכיב בנפרד.</a:t>
          </a:r>
        </a:p>
        <a:p>
          <a:pPr algn="r" rtl="1"/>
          <a:endParaRPr lang="he-IL"/>
        </a:p>
        <a:p>
          <a:pPr algn="r" rtl="1"/>
          <a:r>
            <a:rPr lang="he-IL"/>
            <a:t>למשל אם החוזה כולל תמורה גם עבור שירותי ניקיון, </a:t>
          </a:r>
        </a:p>
        <a:p>
          <a:pPr algn="r" rtl="1"/>
          <a:r>
            <a:rPr lang="he-IL"/>
            <a:t>יש להפריד בין </a:t>
          </a:r>
          <a:r>
            <a:rPr lang="he-IL" u="sng"/>
            <a:t>הטיפול בשירותי הניקיון </a:t>
          </a:r>
          <a:r>
            <a:rPr lang="he-IL"/>
            <a:t>המתקבלים לבין </a:t>
          </a:r>
          <a:r>
            <a:rPr lang="he-IL" u="sng"/>
            <a:t>הטיפול ברכיב החכירה</a:t>
          </a:r>
          <a:r>
            <a:rPr lang="he-IL"/>
            <a:t>. </a:t>
          </a:r>
        </a:p>
        <a:p>
          <a:pPr algn="r" rtl="1"/>
          <a:endParaRPr lang="he-IL"/>
        </a:p>
        <a:p>
          <a:pPr algn="r" rtl="1"/>
          <a:r>
            <a:rPr lang="he-IL"/>
            <a:t>ג. אם החוזה כולל רכיב חכירה ורכיב נוסף (או יותר) שהם חכירה או שאינם חכירה, </a:t>
          </a:r>
        </a:p>
        <a:p>
          <a:pPr algn="r" rtl="1"/>
          <a:r>
            <a:rPr lang="he-IL"/>
            <a:t>חוכר צריך להקצות את התמורה בחוזה לכל רכיב באופן יחסי על בסיס מחירים שהיו נגבים בנפרד עבור רכיבים דומים. </a:t>
          </a:r>
        </a:p>
        <a:p>
          <a:pPr algn="r" rtl="1"/>
          <a:endParaRPr lang="he-IL"/>
        </a:p>
        <a:p>
          <a:pPr algn="r" rtl="1"/>
          <a:r>
            <a:rPr lang="he-IL" b="1" u="sng"/>
            <a:t>לדוגמה</a:t>
          </a:r>
          <a:r>
            <a:rPr lang="he-IL"/>
            <a:t>, </a:t>
          </a:r>
        </a:p>
        <a:p>
          <a:pPr algn="r" rtl="1"/>
          <a:r>
            <a:rPr lang="he-IL"/>
            <a:t>בהתאם להסכם החכירה החוכר ישלם בסוף כל שנה:</a:t>
          </a:r>
        </a:p>
        <a:p>
          <a:pPr algn="r" rtl="1"/>
          <a:r>
            <a:rPr lang="he-IL"/>
            <a:t>15,000 ש״ח למחכיר עבור חכירת מכונה </a:t>
          </a:r>
        </a:p>
        <a:p>
          <a:pPr algn="r" rtl="1"/>
          <a:r>
            <a:rPr lang="he-IL"/>
            <a:t>ו- 3,000 ש"ח דמי תחזוקה (סה"כ 18,000 לשנה). </a:t>
          </a:r>
        </a:p>
        <a:p>
          <a:pPr algn="r" rtl="1"/>
          <a:endParaRPr lang="he-IL"/>
        </a:p>
        <a:p>
          <a:pPr algn="r" rtl="1"/>
          <a:r>
            <a:rPr lang="he-IL"/>
            <a:t>ידוע כי:</a:t>
          </a:r>
        </a:p>
        <a:p>
          <a:pPr algn="r" rtl="1"/>
          <a:r>
            <a:rPr lang="he-IL"/>
            <a:t>דמי החכירה בשוק ללא מתן שירותי תחזוקה הם 15,000 ש״ח ודמי התחזוקה המקובלים בשוק (בעסקה נפרדת) הם 5,000 ש״ח</a:t>
          </a:r>
          <a:r>
            <a:rPr lang="he-IL" baseline="0"/>
            <a:t> </a:t>
          </a:r>
          <a:r>
            <a:rPr lang="he-IL"/>
            <a:t>לשנה. </a:t>
          </a:r>
        </a:p>
        <a:p>
          <a:pPr algn="r" rtl="1"/>
          <a:endParaRPr lang="he-IL"/>
        </a:p>
        <a:p>
          <a:pPr algn="r" rtl="1"/>
          <a:r>
            <a:rPr lang="he-IL"/>
            <a:t>לפיכך, בספרי החוכר יש להפריד את תשלומי החכירה באופן</a:t>
          </a:r>
          <a:r>
            <a:rPr lang="he-IL" baseline="0"/>
            <a:t> שיתבסס על סך התמורה בגין החכירה ושירותיה הנלווים - 18,000, והיא תיוחס לרכיבים לא לפי ההסכם - אלא מבחינת מהות כלכלית, לפי יחס מחירי השוק של הרכיבים:</a:t>
          </a:r>
        </a:p>
        <a:p>
          <a:pPr algn="r" rtl="1"/>
          <a:endParaRPr lang="he-IL" baseline="0"/>
        </a:p>
        <a:p>
          <a:pPr algn="r" rtl="1"/>
          <a:r>
            <a:rPr lang="he-IL" baseline="0"/>
            <a:t>סך שווי השוק של הרכיבים חכירה ותחזוקה בעסקה נפרדת (באלפי ש״ח): 20 = 5 + 15</a:t>
          </a:r>
        </a:p>
        <a:p>
          <a:pPr algn="r" rtl="1"/>
          <a:r>
            <a:rPr lang="he-IL" baseline="0"/>
            <a:t>סך שווי החכירה היחסי: 15/20</a:t>
          </a:r>
        </a:p>
        <a:p>
          <a:pPr algn="r" rtl="1"/>
          <a:r>
            <a:rPr lang="he-IL" baseline="0"/>
            <a:t>סך שווי התחזוקה היחסי: 5/20</a:t>
          </a:r>
        </a:p>
        <a:p>
          <a:pPr algn="r" rtl="1"/>
          <a:endParaRPr lang="he-IL" baseline="0"/>
        </a:p>
        <a:p>
          <a:pPr algn="r" rtl="1"/>
          <a:r>
            <a:rPr lang="he-IL" baseline="0"/>
            <a:t>ואז ניטול את דמי החכירה הכוללים - ונקצה אותם לפי יחס מחירי השוק כאמור:</a:t>
          </a:r>
        </a:p>
        <a:p>
          <a:pPr algn="r" rtl="1"/>
          <a:endParaRPr lang="he-IL"/>
        </a:p>
        <a:p>
          <a:pPr algn="r" rtl="1"/>
          <a:r>
            <a:rPr lang="he-IL"/>
            <a:t>- תשלום עבור רכיב החכירה 13,500 = 18,000*15/20 יטופל כחכירה בהתאם לתקן </a:t>
          </a:r>
        </a:p>
        <a:p>
          <a:pPr algn="r" rtl="1"/>
          <a:r>
            <a:rPr lang="he-IL"/>
            <a:t>תשלום עבור דמי תחזוקה 4,500 = 18,000*5/20 יוכרו בכל שנה כהוצאות תחזוקה </a:t>
          </a:r>
        </a:p>
        <a:p>
          <a:pPr algn="r" rtl="1"/>
          <a:endParaRPr lang="he-IL"/>
        </a:p>
        <a:p>
          <a:pPr algn="r" rtl="1"/>
          <a:r>
            <a:rPr lang="he-IL"/>
            <a:t>ד. התקן מאפשר </a:t>
          </a:r>
          <a:r>
            <a:rPr lang="he-IL" u="sng">
              <a:solidFill>
                <a:srgbClr val="FF0000"/>
              </a:solidFill>
            </a:rPr>
            <a:t>לחוכר</a:t>
          </a:r>
          <a:r>
            <a:rPr lang="he-IL"/>
            <a:t> </a:t>
          </a:r>
          <a:r>
            <a:rPr lang="he-IL">
              <a:solidFill>
                <a:srgbClr val="00B050"/>
              </a:solidFill>
            </a:rPr>
            <a:t>כהקלה מעשית</a:t>
          </a:r>
          <a:r>
            <a:rPr lang="he-IL"/>
            <a:t>, </a:t>
          </a:r>
          <a:r>
            <a:rPr lang="he-IL" u="sng"/>
            <a:t>שלא להפריד רכיבים שאינם חכירה מרכיבים אחרים </a:t>
          </a:r>
          <a:r>
            <a:rPr lang="he-IL"/>
            <a:t>ובמקום זאת לטפל בהם כרכיב חכירה יחיד. בחירה זו מתבצעת עבור כל קבוצת נכסי בסיס דומים.</a:t>
          </a:r>
        </a:p>
        <a:p>
          <a:pPr algn="r" rtl="1"/>
          <a:endParaRPr lang="he-IL"/>
        </a:p>
        <a:p>
          <a:pPr algn="r" rtl="1"/>
          <a:r>
            <a:rPr lang="he-IL" b="1" u="sng"/>
            <a:t>למשל בדוגמה בסעיף ב׳:</a:t>
          </a:r>
          <a:r>
            <a:rPr lang="he-IL" b="1" u="sng" baseline="0"/>
            <a:t> </a:t>
          </a:r>
        </a:p>
        <a:p>
          <a:pPr algn="r" rtl="1"/>
          <a:r>
            <a:rPr lang="he-IL"/>
            <a:t>אם החוכר מיישם את ההקלה כל החוזה יטופל כתשלום חכירה. קרי כל 18,000 הש״ח</a:t>
          </a:r>
          <a:r>
            <a:rPr lang="he-IL" baseline="0"/>
            <a:t> יוכרו כרכיב חכירה ללא פיצול לרכיבים (הקלה). </a:t>
          </a:r>
          <a:endParaRPr lang="he-IL"/>
        </a:p>
        <a:p>
          <a:pPr algn="r" rtl="1"/>
          <a:endParaRPr lang="he-IL" u="sng"/>
        </a:p>
        <a:p>
          <a:pPr algn="r" rtl="1"/>
          <a:r>
            <a:rPr lang="he-IL" u="sng"/>
            <a:t>לעומת זאת, המחכיר</a:t>
          </a:r>
          <a:r>
            <a:rPr lang="he-IL"/>
            <a:t> (הצד הנגדי לעסקה) לא יכול להנות מטיפול מקל זה, וחייב להקצות את התמורה לרכיבי החוזה (בהתאם להוראות 15 </a:t>
          </a:r>
          <a:r>
            <a:rPr lang="en-US"/>
            <a:t>IFRS</a:t>
          </a:r>
          <a:r>
            <a:rPr lang="he-IL"/>
            <a:t>) כלומר ההקלה חלה רק על </a:t>
          </a:r>
          <a:r>
            <a:rPr lang="he-IL" b="1"/>
            <a:t>החוכר.</a:t>
          </a:r>
        </a:p>
        <a:p>
          <a:pPr algn="r" rtl="1"/>
          <a:endParaRPr lang="he-IL"/>
        </a:p>
        <a:p>
          <a:pPr algn="r" rtl="1"/>
          <a:r>
            <a:rPr lang="he-IL"/>
            <a:t>ה. התקן קובע את הטיפול החשבונאי לחכירה בודדת. אולם התקן מאפשר לישות ליישם את התקן לתיק של חכירות בעלות מאפיינים דומים, אם הישות צופה באופן סביר שההשפעות על הדוחות הכספיים של יישום התקן עבור תיק של חכירות לא יהיו שונות באופן מהותי לעומת יישום התקן עבור כל חכירה בנפרד. יישום של התקן לתיק של חכירות דורש מהישות להשתמש באומדנים והנחות הקשורות לגודל התיק ולהרכבו. </a:t>
          </a:r>
        </a:p>
        <a:p>
          <a:pPr algn="r" rtl="1"/>
          <a:endParaRPr lang="he-IL"/>
        </a:p>
        <a:p>
          <a:pPr algn="r" rtl="1"/>
          <a:r>
            <a:rPr lang="he-IL"/>
            <a:t>ו. ככלל, אם נחתמו מספר חוזים יש לטפל בכל חוזה בנפרד. </a:t>
          </a:r>
        </a:p>
        <a:p>
          <a:pPr algn="r" rtl="1"/>
          <a:r>
            <a:rPr lang="he-IL"/>
            <a:t>אולם יש לטפל במספר חוזים שההתקשרות בהם הייתה באותו מועד או במועד סמוך עם אותו צד שכנגד (או עם צדדים קשורים שלו) כחוזה אחד אם מתקיים לפחות אחד מהתנאים הבאים: </a:t>
          </a:r>
        </a:p>
        <a:p>
          <a:pPr algn="r" rtl="1"/>
          <a:r>
            <a:rPr lang="he-IL"/>
            <a:t>- התקיים מו״מ על החוזים כחבילה אחת במטרה כוללת שאינה ניתנת להבנה מבלי להביא בחשבון את החוזים יחד </a:t>
          </a:r>
        </a:p>
        <a:p>
          <a:pPr algn="r" rtl="1"/>
          <a:r>
            <a:rPr lang="he-IL"/>
            <a:t>- סכום התמורה בחוזה אחד תלוי במחיר או בביצוע של חוזה אחר </a:t>
          </a:r>
        </a:p>
        <a:p>
          <a:pPr algn="r" rtl="1"/>
          <a:r>
            <a:rPr lang="he-IL"/>
            <a:t>- הזכויות להשתמש בנכסי בסיס המועברות בחוזים מהוות רכיב חכירה יחיד, כלומר התפקוד שלהם תלוי זה בזה</a:t>
          </a:r>
          <a:endParaRPr lang="he-IL" sz="1100"/>
        </a:p>
        <a:p>
          <a:pPr algn="r" rtl="1"/>
          <a:endParaRPr lang="en-US" sz="1100"/>
        </a:p>
      </xdr:txBody>
    </xdr:sp>
    <xdr:clientData/>
  </xdr:twoCellAnchor>
  <xdr:twoCellAnchor>
    <xdr:from>
      <xdr:col>0</xdr:col>
      <xdr:colOff>44650</xdr:colOff>
      <xdr:row>397</xdr:row>
      <xdr:rowOff>91066</xdr:rowOff>
    </xdr:from>
    <xdr:to>
      <xdr:col>7</xdr:col>
      <xdr:colOff>710045</xdr:colOff>
      <xdr:row>474</xdr:row>
      <xdr:rowOff>19050</xdr:rowOff>
    </xdr:to>
    <xdr:sp macro="" textlink="">
      <xdr:nvSpPr>
        <xdr:cNvPr id="9" name="TextBox 8">
          <a:extLst>
            <a:ext uri="{FF2B5EF4-FFF2-40B4-BE49-F238E27FC236}">
              <a16:creationId xmlns:a16="http://schemas.microsoft.com/office/drawing/2014/main" id="{4131B498-E52E-B9F5-3395-04F418C8C499}"/>
            </a:ext>
          </a:extLst>
        </xdr:cNvPr>
        <xdr:cNvSpPr txBox="1"/>
      </xdr:nvSpPr>
      <xdr:spPr>
        <a:xfrm>
          <a:off x="13518503455" y="80761466"/>
          <a:ext cx="6443895" cy="1557438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400" b="1" u="sng"/>
            <a:t>תקופת החכירה </a:t>
          </a:r>
        </a:p>
        <a:p>
          <a:pPr algn="r" rtl="1"/>
          <a:endParaRPr lang="he-IL"/>
        </a:p>
        <a:p>
          <a:pPr algn="r" rtl="1"/>
          <a:r>
            <a:rPr lang="he-IL"/>
            <a:t>התקן דורש מהישות לקבוע את תקופת החכירה. </a:t>
          </a:r>
        </a:p>
        <a:p>
          <a:pPr algn="r" rtl="1"/>
          <a:r>
            <a:rPr lang="he-IL"/>
            <a:t>תקופת החכירה מוגדרת כתקופה שאינה ניתנת לביטול שלגביה </a:t>
          </a:r>
          <a:r>
            <a:rPr lang="he-IL" b="1"/>
            <a:t>לחוכר</a:t>
          </a:r>
          <a:r>
            <a:rPr lang="he-IL"/>
            <a:t> יש זכות להשתמש בנכס הבסיס. </a:t>
          </a:r>
        </a:p>
        <a:p>
          <a:pPr algn="r" rtl="1"/>
          <a:endParaRPr lang="he-IL"/>
        </a:p>
        <a:p>
          <a:pPr algn="r" rtl="1"/>
          <a:r>
            <a:rPr lang="he-IL" b="1" u="sng"/>
            <a:t>לדוגמה</a:t>
          </a:r>
          <a:r>
            <a:rPr lang="he-IL"/>
            <a:t>, </a:t>
          </a:r>
        </a:p>
        <a:p>
          <a:pPr algn="r" rtl="1"/>
          <a:r>
            <a:rPr lang="he-IL"/>
            <a:t>אם חברה חתמה על הסכם לחכירת שטח מסחרי מוגדר לתקופה שאינה ניתנת לביטול של 5 שנים, </a:t>
          </a:r>
        </a:p>
        <a:p>
          <a:pPr algn="r" rtl="1"/>
          <a:r>
            <a:rPr lang="he-IL"/>
            <a:t>אבל בכל שנה השטח יהיה זמין לשימושה רק בחודשים אוקטובר-דצמבר (שלושה חודשים), </a:t>
          </a:r>
        </a:p>
        <a:p>
          <a:pPr algn="r" rtl="1"/>
          <a:r>
            <a:rPr lang="he-IL"/>
            <a:t>תקופת החכירה הינה 15 חודשים. </a:t>
          </a:r>
        </a:p>
        <a:p>
          <a:pPr algn="r" rtl="1"/>
          <a:endParaRPr lang="he-IL"/>
        </a:p>
        <a:p>
          <a:pPr algn="r" rtl="1"/>
          <a:r>
            <a:rPr lang="he-IL" b="1" u="sng"/>
            <a:t>הערות  לגבי אופציות אורכה ורכישה - והשפעתן על תקופת החכירה</a:t>
          </a:r>
        </a:p>
        <a:p>
          <a:pPr algn="r" rtl="1"/>
          <a:r>
            <a:rPr lang="he-IL"/>
            <a:t>א. אם החוזה כולל אופציה להאריך את החכירה </a:t>
          </a:r>
          <a:r>
            <a:rPr lang="he-IL" u="sng"/>
            <a:t>או</a:t>
          </a:r>
          <a:r>
            <a:rPr lang="he-IL"/>
            <a:t> לרכוש את הנכס </a:t>
          </a:r>
          <a:r>
            <a:rPr lang="he-IL" u="sng"/>
            <a:t>או</a:t>
          </a:r>
          <a:r>
            <a:rPr lang="he-IL"/>
            <a:t> לבטל את החכירה - </a:t>
          </a:r>
        </a:p>
        <a:p>
          <a:pPr algn="r" rtl="1"/>
          <a:r>
            <a:rPr lang="he-IL"/>
            <a:t>יש להעריך במועד התחילה האם ודאי באופן סביר שהאופציה תמומש. </a:t>
          </a:r>
        </a:p>
        <a:p>
          <a:pPr algn="r" rtl="1"/>
          <a:endParaRPr lang="he-IL"/>
        </a:p>
        <a:p>
          <a:pPr algn="r" rtl="1"/>
          <a:r>
            <a:rPr lang="he-IL"/>
            <a:t>במסגרת זו יש להתחשב בכל העובדות והנסיבות הרלוונטיות כולל שינויים חזויים בעובדות או בנסיבות עד מועד המימוש. לדוגמא: </a:t>
          </a:r>
        </a:p>
        <a:p>
          <a:pPr algn="r" rtl="1"/>
          <a:r>
            <a:rPr lang="he-IL"/>
            <a:t>- תנאים חוזיים עבור התקופות האופציונליות בהשוואה לתנאי השוק </a:t>
          </a:r>
        </a:p>
        <a:p>
          <a:pPr algn="r" rtl="1"/>
          <a:r>
            <a:rPr lang="he-IL"/>
            <a:t>- שיפורים משמעותיים בנכס שבוצעו או שיבוצעו בעלי הטבה כלכלית משמעותית לחוכר כשהאופציה תהיה ניתנת למימוש </a:t>
          </a:r>
        </a:p>
        <a:p>
          <a:pPr algn="r" rtl="1"/>
          <a:r>
            <a:rPr lang="he-IL"/>
            <a:t>- עלויות בגין ביטול החכירה כמו עלויות ניהול מו״מ, מיקום מחדש, זיהוי נכס חלופי וכו׳ </a:t>
          </a:r>
        </a:p>
        <a:p>
          <a:pPr algn="r" rtl="1"/>
          <a:r>
            <a:rPr lang="he-IL"/>
            <a:t>- חשיבות הנכס לפעילות החוכר, למשל אם הנכס ייחודי, מיקומו וזמינות של חלופות מתאימות </a:t>
          </a:r>
        </a:p>
        <a:p>
          <a:pPr algn="r" rtl="1"/>
          <a:r>
            <a:rPr lang="he-IL"/>
            <a:t>- תנאים הקשורים למימוש האופציה והסבירות שהתנאים יהיו קיימים </a:t>
          </a:r>
        </a:p>
        <a:p>
          <a:pPr algn="r" rtl="1"/>
          <a:endParaRPr lang="he-IL"/>
        </a:p>
        <a:p>
          <a:pPr algn="r" rtl="1"/>
          <a:r>
            <a:rPr lang="he-IL"/>
            <a:t>ב. אם לחוכר יש אופציה להאריך את תקופת החכירה, יש להתחשב באופציה אם במועד התחילה ודאי באופן סביר שהחוכר יממש את האופציה. </a:t>
          </a:r>
        </a:p>
        <a:p>
          <a:pPr algn="r" rtl="1"/>
          <a:endParaRPr lang="he-IL"/>
        </a:p>
        <a:p>
          <a:pPr algn="r" rtl="1"/>
          <a:r>
            <a:rPr lang="he-IL" u="sng"/>
            <a:t>לדוגמה</a:t>
          </a:r>
          <a:r>
            <a:rPr lang="he-IL"/>
            <a:t>, ישות חתמה על הסכם לחכירת ציוד לתקופה של 4 שנים שבה הוא אינו ניתן לביטול, </a:t>
          </a:r>
        </a:p>
        <a:p>
          <a:pPr algn="r" rtl="1"/>
          <a:r>
            <a:rPr lang="he-IL"/>
            <a:t>והחוזה כולל אופציה להארכת תקופת החכירה בשנתיים כשדמי החכירה העתידיים מותאמים לדמי החכירה בשוק במועד ההתקשרות. </a:t>
          </a:r>
        </a:p>
        <a:p>
          <a:pPr algn="r" rtl="1"/>
          <a:r>
            <a:rPr lang="he-IL"/>
            <a:t>במצב</a:t>
          </a:r>
          <a:r>
            <a:rPr lang="he-IL" baseline="0"/>
            <a:t> כזה נסיק כי </a:t>
          </a:r>
          <a:r>
            <a:rPr lang="he-IL"/>
            <a:t>תקופת החכירה במועד ההתקשרות בחכירה הינה 4 שנים</a:t>
          </a:r>
          <a:r>
            <a:rPr lang="he-IL" baseline="0"/>
            <a:t> (עצרו וחשבו לרגע מדוע).</a:t>
          </a:r>
          <a:r>
            <a:rPr lang="he-IL"/>
            <a:t> מדוע? כי אנו נכלול את תקופת</a:t>
          </a:r>
          <a:r>
            <a:rPr lang="he-IL" baseline="0"/>
            <a:t> ההארכה במסגרת תקופת החכירה אם ורק אם ניתן לנמק באופן ברור סבירות גבוהה למימוש אופציית החכירה. במקרה זה, הארכת ההסדר איננה מניבה תנאים עדיפים. ולכן, לא נתייחס אליה במועד העסקה.</a:t>
          </a:r>
          <a:endParaRPr lang="he-IL"/>
        </a:p>
        <a:p>
          <a:pPr algn="r" rtl="1"/>
          <a:endParaRPr lang="he-IL"/>
        </a:p>
        <a:p>
          <a:pPr algn="r" rtl="1"/>
          <a:r>
            <a:rPr lang="he-IL" u="sng"/>
            <a:t>לחילופין</a:t>
          </a:r>
          <a:r>
            <a:rPr lang="he-IL"/>
            <a:t>, אם במקרה דומה, הישות שילמה עבור שיפורים במושכר שצפוי להיות להם ערך משמעותי בתום 4 שנים ושערכם יושב רק באמצעות שימוש מעבר לתקופה של 4 שנים, נכון למועד ההתקשרות בחכירה ודאי באופן סביר שהאופציה תמומש משום שייגרם לה נזק כלכלי משמעותי אם תוותר על השיפורים בנכס. לפיכך, תקופת החכירה הינה 6 שנים. </a:t>
          </a:r>
        </a:p>
        <a:p>
          <a:pPr algn="r" rtl="1"/>
          <a:endParaRPr lang="he-IL"/>
        </a:p>
        <a:p>
          <a:pPr algn="r" rtl="1"/>
          <a:r>
            <a:rPr lang="he-IL"/>
            <a:t>ג. אם לחוכר יש אופציה לבטל את החכירה נתחשב בתקופות שמעבר לביטול אם במועד התחילה ודאי באופן סביר שהחוכר לא יממש את האופציה. </a:t>
          </a:r>
        </a:p>
        <a:p>
          <a:pPr algn="r" rtl="1"/>
          <a:endParaRPr lang="he-IL"/>
        </a:p>
        <a:p>
          <a:pPr algn="r" rtl="1"/>
          <a:r>
            <a:rPr lang="he-IL" u="sng"/>
            <a:t>לדוגמה</a:t>
          </a:r>
          <a:r>
            <a:rPr lang="he-IL"/>
            <a:t>, אם תקופת החכירה היא 5 שנים ולחוכר יש אופציה לבטל את החכירה אחרי 3 שנים, </a:t>
          </a:r>
        </a:p>
        <a:p>
          <a:pPr algn="r" rtl="1"/>
          <a:r>
            <a:rPr lang="he-IL"/>
            <a:t>אז תקופת החכירה היא 3 שנים </a:t>
          </a:r>
          <a:r>
            <a:rPr lang="he-IL" u="sng"/>
            <a:t>אלא</a:t>
          </a:r>
          <a:r>
            <a:rPr lang="he-IL"/>
            <a:t> אם ודאי באופן סביר שהוא לא יממש את האופציה. </a:t>
          </a:r>
        </a:p>
        <a:p>
          <a:pPr algn="r" rtl="1"/>
          <a:endParaRPr lang="he-IL"/>
        </a:p>
        <a:p>
          <a:pPr algn="r" rtl="1"/>
          <a:r>
            <a:rPr lang="he-IL"/>
            <a:t>לדוגמא: שוודי חוכר מכונה ענקית ספציפית לחימום נקניק. בהסדר נרשם ״השוודי</a:t>
          </a:r>
          <a:r>
            <a:rPr lang="he-IL" baseline="0"/>
            <a:t> יכול לבצע במכונה מה שבא לו״. כמו כן נרשם: ״תקופת החכירה היא 8 שנים. השוודי יכול לבטל את החכירה בהתראה של שבוע מראש, החל מתום השנה השניה״. </a:t>
          </a:r>
        </a:p>
        <a:p>
          <a:pPr algn="r" rtl="1"/>
          <a:r>
            <a:rPr lang="he-IL" baseline="0"/>
            <a:t>בחברה השוודית ידוע שהחלפות מכונה לחימום נקניק הן עסק יקר ולא משתלם. כמו כן, החברה חייבת להשקיע סכומי עתק בהכשרת המכונה לשימוש, באופן שיגרום לכך שקיצור תקופת החכירה תהפוך אותה לבלתי כלכלית בעליל.</a:t>
          </a:r>
        </a:p>
        <a:p>
          <a:pPr algn="r" rtl="1"/>
          <a:endParaRPr lang="he-IL" baseline="0"/>
        </a:p>
        <a:p>
          <a:pPr algn="r" rtl="1"/>
          <a:r>
            <a:rPr lang="he-IL" baseline="0"/>
            <a:t>בנתונים אלו, האם תקופת החכירה היא 8 שנים? שנתיים? או תקופה אחרת?</a:t>
          </a:r>
        </a:p>
        <a:p>
          <a:pPr algn="r" rtl="1"/>
          <a:r>
            <a:rPr lang="he-IL" baseline="0"/>
            <a:t>התשובה: מספר שנים כמספר זרועות התמנון. וזאת לאור העובדה שבהינתן הנסיבות (הפסד כלכלי משמעותי שיווצר במידה ויחול ביטול) ״ודאי באופן סביר״ שזכות הביטול לא תמומש. </a:t>
          </a:r>
          <a:endParaRPr lang="he-IL"/>
        </a:p>
        <a:p>
          <a:pPr algn="r" rtl="1"/>
          <a:endParaRPr lang="he-IL"/>
        </a:p>
        <a:p>
          <a:pPr algn="r" rtl="1"/>
          <a:r>
            <a:rPr lang="he-IL"/>
            <a:t>ד. בהערכת התקופה שאינה ניתנת לביטול יש לקבוע את התקופה שלגביה החוזה ניתן לאכיפה. </a:t>
          </a:r>
        </a:p>
        <a:p>
          <a:pPr algn="r" rtl="1"/>
          <a:r>
            <a:rPr lang="he-IL"/>
            <a:t>חכירה אינה ניתנת לאכיפה אם יש לכל אחד מהצדדים זכות לבטל את החכירה ללא רשות מהצד האחר בתשלום קנס בלתי משמעותי.</a:t>
          </a:r>
          <a:r>
            <a:rPr lang="he-IL" baseline="0"/>
            <a:t> </a:t>
          </a:r>
        </a:p>
        <a:p>
          <a:pPr algn="r" rtl="1"/>
          <a:r>
            <a:rPr lang="he-IL" b="1"/>
            <a:t>אם רק לחוכר יש זכות לבטל את החכירה אז נתחשב בה רק אם ודאי באופן סביר שהוא יממש אותה. </a:t>
          </a:r>
        </a:p>
        <a:p>
          <a:pPr algn="r" rtl="1"/>
          <a:r>
            <a:rPr lang="he-IL" b="1"/>
            <a:t>אם רק למחכיר יש זכות לבטל את החכירה אז לא מתחשבים בה בקביעת תקופת החכירה. </a:t>
          </a:r>
        </a:p>
        <a:p>
          <a:pPr algn="r" rtl="1"/>
          <a:endParaRPr lang="he-IL"/>
        </a:p>
        <a:p>
          <a:pPr algn="r" rtl="1"/>
          <a:r>
            <a:rPr lang="he-IL"/>
            <a:t>ה. תקופת החכירה מתחילה במועד תחילת החכירה וכוללת גם תקופות שאינן בתשלום שהמחכיר מספק לחוכר.</a:t>
          </a:r>
        </a:p>
        <a:p>
          <a:pPr algn="r" rtl="1"/>
          <a:r>
            <a:rPr lang="he-IL"/>
            <a:t>מועד תחילת החכירה הוא המועד שבו מחכיר הופך נכס בסיס לזמין לשימוש על ידי חוכר.  </a:t>
          </a:r>
        </a:p>
        <a:p>
          <a:pPr algn="r" rtl="1"/>
          <a:endParaRPr lang="he-IL"/>
        </a:p>
        <a:p>
          <a:pPr algn="r" rtl="1"/>
          <a:r>
            <a:rPr lang="he-IL" b="1" u="sng"/>
            <a:t>לדוגמה</a:t>
          </a:r>
          <a:r>
            <a:rPr lang="he-IL"/>
            <a:t>, </a:t>
          </a:r>
        </a:p>
        <a:p>
          <a:pPr algn="r" rtl="1"/>
          <a:r>
            <a:rPr lang="he-IL"/>
            <a:t>הסכם החכירה נחתם ב- 1.12.2020 </a:t>
          </a:r>
        </a:p>
        <a:p>
          <a:pPr algn="r" rtl="1"/>
          <a:r>
            <a:rPr lang="he-IL"/>
            <a:t>ובהתאם להסכם החוכר יהיה רשאי להשתמש בנכס החל מ - 1.1.2021 למשך 5 שנים. </a:t>
          </a:r>
        </a:p>
        <a:p>
          <a:pPr algn="r" rtl="1"/>
          <a:r>
            <a:rPr lang="he-IL"/>
            <a:t>החוכר ישלם עבור החכירה שני תשלומים שנתיים שווים בסוף כל שנה החל מ- .31.12.2021 </a:t>
          </a:r>
        </a:p>
        <a:p>
          <a:pPr algn="r" rtl="1"/>
          <a:r>
            <a:rPr lang="he-IL"/>
            <a:t>לפיכך, תקופת החכירה הינה 5 שנים. </a:t>
          </a:r>
        </a:p>
        <a:p>
          <a:pPr algn="r" rtl="1"/>
          <a:r>
            <a:rPr lang="he-IL"/>
            <a:t>במלים אחרות, גם אם התשלום נפרס על פני שנתיים, כל עוד זכות השימוש היא ל-5 שנים, תקופת החכירה 5 שנים.</a:t>
          </a:r>
        </a:p>
        <a:p>
          <a:pPr algn="r" rtl="1"/>
          <a:endParaRPr lang="he-IL"/>
        </a:p>
        <a:p>
          <a:pPr algn="r" rtl="1"/>
          <a:r>
            <a:rPr lang="he-IL"/>
            <a:t>ו. ככל שתקופת החכירה שאינה ניתנת לביטול קצרה יותר, סביר יותר שהחוכר יממש את האופציה להאריך (או לא יממש את האופציה לבטל) מאחר שסביר כי עלויות השגת נכס חלופי הן גבוהות  </a:t>
          </a:r>
        </a:p>
        <a:p>
          <a:pPr algn="r" rtl="1"/>
          <a:endParaRPr lang="he-IL"/>
        </a:p>
        <a:p>
          <a:pPr algn="r" rtl="1"/>
          <a:r>
            <a:rPr lang="he-IL"/>
            <a:t>ז. ניסיון עבר של חוכר ביחס לתקופה שבדרך כלל הוא עושה שימוש בסוגים מסוימים של נכסים (בין אם הם חכורים ובין אם הם בבעלותו), והסיבות הכלכליות שלו לכך עשויים לספק מידע מועיל להערכה ביחס למימוש או לאי מימוש אופציה.</a:t>
          </a:r>
        </a:p>
        <a:p>
          <a:pPr algn="r" rtl="1"/>
          <a:endParaRPr lang="he-IL"/>
        </a:p>
        <a:p>
          <a:pPr algn="r" rtl="1"/>
          <a:r>
            <a:rPr lang="he-IL"/>
            <a:t>ח. יש להעריך מחדש אם ודאי באופן סביר לממש אופציה להארכה או לא לממש אופציה לביטול בעת התרחשות אירוע משמעותי שהוא בשליטת החוכר שמשפיע על ההחלטה אם ודאי באופן סביר שהחוכר יממש את האופציה שקודם לכן לא הובאה בחשבון או שלא יממש אופציה שקודם לכן הובאה בחשבון.</a:t>
          </a:r>
        </a:p>
        <a:p>
          <a:pPr algn="r" rtl="1"/>
          <a:endParaRPr lang="he-IL"/>
        </a:p>
        <a:p>
          <a:pPr algn="r" rtl="1"/>
          <a:r>
            <a:rPr lang="he-IL" b="1" u="sng"/>
            <a:t>דוגמאות</a:t>
          </a:r>
          <a:r>
            <a:rPr lang="he-IL"/>
            <a:t> לאירועים כאלה כוללות:</a:t>
          </a:r>
        </a:p>
        <a:p>
          <a:pPr algn="r" rtl="1"/>
          <a:r>
            <a:rPr lang="he-IL"/>
            <a:t>- שיפורים משמעותיים בנכס שלא נחזו במועד תחילת החכירה שחזוי שתהיה להם הטבה כלכלית משמעותית עבור החוכר, </a:t>
          </a:r>
        </a:p>
        <a:p>
          <a:pPr algn="r" rtl="1"/>
          <a:r>
            <a:rPr lang="he-IL"/>
            <a:t>- התקשרות בחכירת משנה של נכס הבסיס לתקופה העולה על סוף תקופת החכירה שנקבעה קודם לכן, </a:t>
          </a:r>
        </a:p>
        <a:p>
          <a:pPr algn="r" rtl="1"/>
          <a:r>
            <a:rPr lang="he-IL"/>
            <a:t>- החלטה עסקית של החוכר שרלוונטית במישרין למימוש או אי מימוש אל אופציה (למשל הארכת חכירה של נכס משלים, מימוש נכס חלופי). </a:t>
          </a:r>
        </a:p>
        <a:p>
          <a:pPr algn="r" rtl="1"/>
          <a:endParaRPr lang="he-IL"/>
        </a:p>
        <a:p>
          <a:pPr algn="r" rtl="1"/>
          <a:r>
            <a:rPr lang="he-IL"/>
            <a:t>ט. יש לעדכן את תקופת החכירה אם חל שינוי בתקופה בה החכירה אינה ניתנת לביטול, </a:t>
          </a:r>
        </a:p>
        <a:p>
          <a:pPr algn="r" rtl="1"/>
          <a:endParaRPr lang="he-IL"/>
        </a:p>
        <a:p>
          <a:pPr algn="r" rtl="1"/>
          <a:r>
            <a:rPr lang="he-IL" b="1" u="sng"/>
            <a:t>למשל</a:t>
          </a:r>
          <a:r>
            <a:rPr lang="he-IL"/>
            <a:t> כאשר: </a:t>
          </a:r>
        </a:p>
        <a:p>
          <a:pPr algn="r" rtl="1"/>
          <a:r>
            <a:rPr lang="he-IL"/>
            <a:t>- החוכר מממש אופציה שלא נכללה קודם לכן בתקופת החכירה </a:t>
          </a:r>
        </a:p>
        <a:p>
          <a:pPr algn="r" rtl="1"/>
          <a:r>
            <a:rPr lang="he-IL"/>
            <a:t>- החוכר לא מימש אופציה שנכללה קודם לכן בתקופת החכירה </a:t>
          </a:r>
        </a:p>
        <a:p>
          <a:pPr algn="r" rtl="1"/>
          <a:r>
            <a:rPr lang="he-IL"/>
            <a:t>- התרחש אירוע שמחייב חוזית את החוכר לממש אופציה שלא נכללה קודם לכן </a:t>
          </a:r>
        </a:p>
        <a:p>
          <a:pPr algn="r" rtl="1"/>
          <a:r>
            <a:rPr lang="he-IL"/>
            <a:t>- התרחש אירוע שאוסר חוזית על החוכר לממש אופציה שנכללה קודם לכן</a:t>
          </a:r>
          <a:endParaRPr lang="en-US" sz="1100"/>
        </a:p>
      </xdr:txBody>
    </xdr:sp>
    <xdr:clientData/>
  </xdr:twoCellAnchor>
  <xdr:twoCellAnchor editAs="oneCell">
    <xdr:from>
      <xdr:col>8</xdr:col>
      <xdr:colOff>69850</xdr:colOff>
      <xdr:row>2</xdr:row>
      <xdr:rowOff>114300</xdr:rowOff>
    </xdr:from>
    <xdr:to>
      <xdr:col>17</xdr:col>
      <xdr:colOff>412750</xdr:colOff>
      <xdr:row>21</xdr:row>
      <xdr:rowOff>47371</xdr:rowOff>
    </xdr:to>
    <xdr:pic>
      <xdr:nvPicPr>
        <xdr:cNvPr id="10" name="Picture 9">
          <a:extLst>
            <a:ext uri="{FF2B5EF4-FFF2-40B4-BE49-F238E27FC236}">
              <a16:creationId xmlns:a16="http://schemas.microsoft.com/office/drawing/2014/main" id="{E6836F7B-868D-1C4B-AA28-43319DD481EC}"/>
            </a:ext>
          </a:extLst>
        </xdr:cNvPr>
        <xdr:cNvPicPr>
          <a:picLocks noChangeAspect="1"/>
        </xdr:cNvPicPr>
      </xdr:nvPicPr>
      <xdr:blipFill>
        <a:blip xmlns:r="http://schemas.openxmlformats.org/officeDocument/2006/relationships" r:embed="rId2"/>
        <a:stretch>
          <a:fillRect/>
        </a:stretch>
      </xdr:blipFill>
      <xdr:spPr>
        <a:xfrm>
          <a:off x="13510545750" y="520700"/>
          <a:ext cx="7772400" cy="3793871"/>
        </a:xfrm>
        <a:prstGeom prst="rect">
          <a:avLst/>
        </a:prstGeom>
      </xdr:spPr>
    </xdr:pic>
    <xdr:clientData/>
  </xdr:twoCellAnchor>
  <xdr:twoCellAnchor>
    <xdr:from>
      <xdr:col>15</xdr:col>
      <xdr:colOff>139700</xdr:colOff>
      <xdr:row>18</xdr:row>
      <xdr:rowOff>50800</xdr:rowOff>
    </xdr:from>
    <xdr:to>
      <xdr:col>17</xdr:col>
      <xdr:colOff>317500</xdr:colOff>
      <xdr:row>20</xdr:row>
      <xdr:rowOff>158750</xdr:rowOff>
    </xdr:to>
    <xdr:sp macro="" textlink="">
      <xdr:nvSpPr>
        <xdr:cNvPr id="11" name="Rounded Rectangle 10">
          <a:extLst>
            <a:ext uri="{FF2B5EF4-FFF2-40B4-BE49-F238E27FC236}">
              <a16:creationId xmlns:a16="http://schemas.microsoft.com/office/drawing/2014/main" id="{0EFAB4E3-0C1C-7AD8-3EFF-415CBFA86647}"/>
            </a:ext>
          </a:extLst>
        </xdr:cNvPr>
        <xdr:cNvSpPr/>
      </xdr:nvSpPr>
      <xdr:spPr>
        <a:xfrm>
          <a:off x="13510641000" y="37084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חוכר</a:t>
          </a:r>
          <a:endParaRPr lang="en-US" sz="1100"/>
        </a:p>
      </xdr:txBody>
    </xdr:sp>
    <xdr:clientData/>
  </xdr:twoCellAnchor>
  <xdr:twoCellAnchor>
    <xdr:from>
      <xdr:col>8</xdr:col>
      <xdr:colOff>298450</xdr:colOff>
      <xdr:row>17</xdr:row>
      <xdr:rowOff>38100</xdr:rowOff>
    </xdr:from>
    <xdr:to>
      <xdr:col>10</xdr:col>
      <xdr:colOff>476250</xdr:colOff>
      <xdr:row>19</xdr:row>
      <xdr:rowOff>146050</xdr:rowOff>
    </xdr:to>
    <xdr:sp macro="" textlink="">
      <xdr:nvSpPr>
        <xdr:cNvPr id="13" name="Rounded Rectangle 12">
          <a:extLst>
            <a:ext uri="{FF2B5EF4-FFF2-40B4-BE49-F238E27FC236}">
              <a16:creationId xmlns:a16="http://schemas.microsoft.com/office/drawing/2014/main" id="{5F4CBA80-959B-E849-8A49-6927FFCAE145}"/>
            </a:ext>
          </a:extLst>
        </xdr:cNvPr>
        <xdr:cNvSpPr/>
      </xdr:nvSpPr>
      <xdr:spPr>
        <a:xfrm>
          <a:off x="13516260750" y="34925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מחכיר</a:t>
          </a:r>
          <a:endParaRPr lang="en-US" sz="1100"/>
        </a:p>
      </xdr:txBody>
    </xdr:sp>
    <xdr:clientData/>
  </xdr:twoCellAnchor>
  <xdr:twoCellAnchor>
    <xdr:from>
      <xdr:col>12</xdr:col>
      <xdr:colOff>104775</xdr:colOff>
      <xdr:row>7</xdr:row>
      <xdr:rowOff>41275</xdr:rowOff>
    </xdr:from>
    <xdr:to>
      <xdr:col>12</xdr:col>
      <xdr:colOff>619125</xdr:colOff>
      <xdr:row>16</xdr:row>
      <xdr:rowOff>41275</xdr:rowOff>
    </xdr:to>
    <xdr:sp macro="" textlink="">
      <xdr:nvSpPr>
        <xdr:cNvPr id="14" name="Rounded Rectangle 13">
          <a:extLst>
            <a:ext uri="{FF2B5EF4-FFF2-40B4-BE49-F238E27FC236}">
              <a16:creationId xmlns:a16="http://schemas.microsoft.com/office/drawing/2014/main" id="{B62B43D0-14F6-52B3-69C5-DE5881D79548}"/>
            </a:ext>
          </a:extLst>
        </xdr:cNvPr>
        <xdr:cNvSpPr/>
      </xdr:nvSpPr>
      <xdr:spPr>
        <a:xfrm rot="18708176">
          <a:off x="13513809650" y="2120900"/>
          <a:ext cx="1828800" cy="514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19050</xdr:colOff>
      <xdr:row>4</xdr:row>
      <xdr:rowOff>25400</xdr:rowOff>
    </xdr:from>
    <xdr:to>
      <xdr:col>7</xdr:col>
      <xdr:colOff>571500</xdr:colOff>
      <xdr:row>45</xdr:row>
      <xdr:rowOff>95250</xdr:rowOff>
    </xdr:to>
    <xdr:sp macro="" textlink="">
      <xdr:nvSpPr>
        <xdr:cNvPr id="2" name="TextBox 1">
          <a:extLst>
            <a:ext uri="{FF2B5EF4-FFF2-40B4-BE49-F238E27FC236}">
              <a16:creationId xmlns:a16="http://schemas.microsoft.com/office/drawing/2014/main" id="{34848A5B-E7EE-C268-860A-BBB71EAE1A86}"/>
            </a:ext>
          </a:extLst>
        </xdr:cNvPr>
        <xdr:cNvSpPr txBox="1"/>
      </xdr:nvSpPr>
      <xdr:spPr>
        <a:xfrm>
          <a:off x="13518642000" y="838200"/>
          <a:ext cx="6330950" cy="8401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הבסיס הטריביאלי למדידה במועד ההכרה - ״מועד התחילה״</a:t>
          </a:r>
        </a:p>
        <a:p>
          <a:pPr algn="r" rtl="1"/>
          <a:r>
            <a:rPr lang="he-IL"/>
            <a:t>במועד התחילה, חוכר יכיר </a:t>
          </a:r>
          <a:r>
            <a:rPr lang="he-IL" b="1" u="sng">
              <a:solidFill>
                <a:srgbClr val="FF0000"/>
              </a:solidFill>
            </a:rPr>
            <a:t>בנכס זכות שימוש </a:t>
          </a:r>
          <a:r>
            <a:rPr lang="he-IL" b="1" u="sng">
              <a:solidFill>
                <a:srgbClr val="0070C0"/>
              </a:solidFill>
            </a:rPr>
            <a:t>ובהתחייבות בגין חכירה </a:t>
          </a:r>
        </a:p>
        <a:p>
          <a:pPr algn="r" rtl="1"/>
          <a:r>
            <a:rPr lang="he-IL"/>
            <a:t>החוכר ימדוד את נכס זכות השימוש בעלותו. </a:t>
          </a:r>
        </a:p>
        <a:p>
          <a:pPr algn="r" rtl="1"/>
          <a:r>
            <a:rPr lang="he-IL"/>
            <a:t>החוכר ימדוד את התחייבות החכירה בערך הנוכחי של תשלומי החכירה שאינם משולמים באותו מועד. </a:t>
          </a:r>
        </a:p>
        <a:p>
          <a:pPr algn="r" rtl="1"/>
          <a:r>
            <a:rPr lang="he-IL"/>
            <a:t>תשלומי החכירה יהוונו תוך שימוש </a:t>
          </a:r>
          <a:r>
            <a:rPr lang="he-IL" b="1" u="sng"/>
            <a:t>בשיעור הריבית הגלום בחכירה</a:t>
          </a:r>
          <a:r>
            <a:rPr lang="he-IL"/>
            <a:t>, אם שיעור זה יתן לקביעה בנקל. </a:t>
          </a:r>
        </a:p>
        <a:p>
          <a:pPr algn="r" rtl="1"/>
          <a:r>
            <a:rPr lang="he-IL"/>
            <a:t>אם שיעור זה אינו יתן לקביעה בנקל, החוכר ישתמש </a:t>
          </a:r>
          <a:r>
            <a:rPr lang="he-IL" b="1" u="sng"/>
            <a:t>בשיעור הריבית התוספתי של החוכר</a:t>
          </a:r>
          <a:r>
            <a:rPr lang="he-IL"/>
            <a:t>. </a:t>
          </a:r>
        </a:p>
        <a:p>
          <a:pPr algn="r" rtl="1"/>
          <a:endParaRPr lang="he-IL"/>
        </a:p>
        <a:p>
          <a:pPr algn="r" rtl="1"/>
          <a:r>
            <a:rPr lang="he-IL" u="sng"/>
            <a:t>הדגמה למצב שבו ניתן לקבוע את שיעור הריבית הגלום בחכירה:</a:t>
          </a:r>
        </a:p>
        <a:p>
          <a:pPr algn="r" rtl="1"/>
          <a:r>
            <a:rPr lang="he-IL"/>
            <a:t>בונינו</a:t>
          </a:r>
          <a:r>
            <a:rPr lang="he-IL" baseline="0"/>
            <a:t> בע״מ מתקשרת היום בעסקת חכירה שתדרוש ממנה לשלם 1,000 ש״ח בתום כל חודש 3 שנים וזאת לטובת זכות שימוש במכונת חימום נקניק באופן בלתי מוגבל ל-3 שנים. </a:t>
          </a:r>
        </a:p>
        <a:p>
          <a:pPr algn="r" rtl="1"/>
          <a:r>
            <a:rPr lang="he-IL" baseline="0"/>
            <a:t>ידוע לבונינו על פי מודל כלכלי שבנתה שהשווי של הסדר שימוש כזה ל-3 שנים מבחינה כלכלית הוא 28,000 ש״ח.</a:t>
          </a:r>
        </a:p>
        <a:p>
          <a:pPr algn="r" rtl="1"/>
          <a:endParaRPr lang="he-IL" baseline="0"/>
        </a:p>
        <a:p>
          <a:pPr algn="r" rtl="1"/>
          <a:r>
            <a:rPr lang="he-IL" baseline="0"/>
            <a:t>האם ניתן לקבוע את שיעור הריבית הגלום בחכירה?</a:t>
          </a:r>
        </a:p>
        <a:p>
          <a:pPr algn="r" rtl="1"/>
          <a:r>
            <a:rPr lang="he-IL" baseline="0"/>
            <a:t>התשובה - כן. מדוע? משום שאם אני יודע מהם תזרימי המזומנים היוצאים ומהו שווי הנכס (נכס זכות השימוש) המתקבל בהווה, ניתן לחלץ את הריבית. </a:t>
          </a:r>
        </a:p>
        <a:p>
          <a:pPr algn="r" rtl="1"/>
          <a:endParaRPr lang="he-IL" baseline="0"/>
        </a:p>
        <a:p>
          <a:pPr algn="r" rtl="1"/>
          <a:r>
            <a:rPr lang="he-IL" u="sng" baseline="0"/>
            <a:t>הדגמה למצב שבו לא ניתן לקבוע את שיעור הריבית הגלום בחכירה:</a:t>
          </a:r>
        </a:p>
        <a:p>
          <a:pPr algn="r" rtl="1"/>
          <a:r>
            <a:rPr lang="he-IL"/>
            <a:t>הניחו כעת כי נוקיה מעוניינת להתקשר בעסקת חכירה שתדרוש ממנה</a:t>
          </a:r>
          <a:r>
            <a:rPr lang="he-IL" baseline="0"/>
            <a:t> לשלם 33,000 ש״ח בתום כל חודש במשך 4 שנים וזאת לטובת זכות שימוש במכונת חימום נקניק מטורפת ענקית. מכונת הנקניק מותאמת באופן ספציפי לחברת נוקיה שפתיחה פטנט מיוחד לחימום נקניק מהיר במיוחד והשימוש בו נעשה באופן נסיוני. </a:t>
          </a:r>
          <a:r>
            <a:rPr lang="he-IL" baseline="0">
              <a:solidFill>
                <a:srgbClr val="FF0000"/>
              </a:solidFill>
            </a:rPr>
            <a:t>לאור זאת, קיים קושי באומדן מהימן של שווי זכות השימוש במכונת חימום הנקניק. </a:t>
          </a:r>
        </a:p>
        <a:p>
          <a:pPr algn="r" rtl="1"/>
          <a:endParaRPr lang="he-IL" baseline="0"/>
        </a:p>
        <a:p>
          <a:pPr algn="r" rtl="1"/>
          <a:r>
            <a:rPr lang="he-IL"/>
            <a:t>האם ניתן לקבוע את שיעור הריבית הגלום בחכירה?</a:t>
          </a:r>
        </a:p>
        <a:p>
          <a:pPr algn="r" rtl="1"/>
          <a:r>
            <a:rPr lang="he-IL"/>
            <a:t>התשובה - לא. חסרים נתונים שיאפשרו חילוץ הריבית משום ששווי הנכס לא ידוע. </a:t>
          </a:r>
        </a:p>
        <a:p>
          <a:pPr algn="r" rtl="1"/>
          <a:endParaRPr lang="he-IL"/>
        </a:p>
        <a:p>
          <a:pPr algn="r" rtl="1"/>
          <a:r>
            <a:rPr lang="he-IL" u="sng"/>
            <a:t>הדגמה למצב נוסף שבו ניתן לקבוע את שיעור הריבית הגלום בחכירה:</a:t>
          </a:r>
        </a:p>
        <a:p>
          <a:pPr algn="r" rtl="1"/>
          <a:r>
            <a:rPr lang="he-IL"/>
            <a:t>חברת ״ניתאים״ בע״מ נוטעת נקניקים ברחבי הארץ. מכונת הנטיעה שנחכרה לאחרונה</a:t>
          </a:r>
          <a:r>
            <a:rPr lang="he-IL" baseline="0"/>
            <a:t> על ידי החברה דורשת ממנה לשלם סכום קבוע של 2,000 ש״ח בתום כל חודש במשך 8 שנים וזאת עבור החכירה של 8 השנים כאמור. </a:t>
          </a:r>
        </a:p>
        <a:p>
          <a:pPr algn="r" rtl="1"/>
          <a:r>
            <a:rPr lang="he-IL" baseline="0"/>
            <a:t>ניתאי, מנכ״ל החברה, הרים טלפון למחכיר ושאל אותו: ״תגיד, אתם יכולים לחשוף את שיעור הריבית לפיו אתם מתמחרים את עסקאות החכירה שלכם?״ המחכיר השיב: ״בשמחה. 8.16%. כל מה שמעבר זהו מרווח תפעולי שלנו״. </a:t>
          </a:r>
        </a:p>
        <a:p>
          <a:pPr algn="r" rtl="1"/>
          <a:endParaRPr lang="he-IL" baseline="0"/>
        </a:p>
        <a:p>
          <a:pPr algn="r" rtl="1"/>
          <a:r>
            <a:rPr lang="he-IL" baseline="0"/>
            <a:t>האם ניתן לקבוע את שיעור הריבית הגלום בחכירה?</a:t>
          </a:r>
        </a:p>
        <a:p>
          <a:pPr algn="r" rtl="1"/>
          <a:r>
            <a:rPr lang="he-IL" baseline="0"/>
            <a:t>התשובה - כן. הוא גלוי. </a:t>
          </a:r>
          <a:endParaRPr lang="he-IL"/>
        </a:p>
        <a:p>
          <a:pPr algn="r" rtl="1"/>
          <a:endParaRPr lang="he-IL"/>
        </a:p>
        <a:p>
          <a:pPr algn="r" rtl="1"/>
          <a:endParaRPr lang="he-IL"/>
        </a:p>
        <a:p>
          <a:pPr algn="r" rtl="1"/>
          <a:r>
            <a:rPr lang="he-IL"/>
            <a:t>סיכומונצ׳יק</a:t>
          </a:r>
          <a:r>
            <a:rPr lang="he-IL" baseline="0"/>
            <a:t> - הרחבה נוספת בהמשך: </a:t>
          </a:r>
        </a:p>
        <a:p>
          <a:pPr algn="r" rtl="1"/>
          <a:r>
            <a:rPr lang="he-IL" baseline="0"/>
            <a:t>חישובי החכירות יתייחסו במידה רבה לריבית בעסקה הספציפית.</a:t>
          </a:r>
        </a:p>
        <a:p>
          <a:pPr algn="r" rtl="1"/>
          <a:r>
            <a:rPr lang="he-IL" baseline="0"/>
            <a:t>לעתים ריבית זו תהיה נתונה.</a:t>
          </a:r>
        </a:p>
        <a:p>
          <a:pPr algn="r" rtl="1"/>
          <a:r>
            <a:rPr lang="he-IL" baseline="0"/>
            <a:t>לעתים ניתנת לחילוץ פשוט. </a:t>
          </a:r>
        </a:p>
        <a:p>
          <a:pPr algn="r" rtl="1"/>
          <a:r>
            <a:rPr lang="he-IL" baseline="0"/>
            <a:t>ולעתים - איננה ניתנת לגילוי, ואו אז, נשתמש בגודל אחר, שנקרא ״הריבית התוספתית״ על הלוואות של החוכר, נדון בכך בהמשך. </a:t>
          </a:r>
          <a:endParaRPr lang="he-IL"/>
        </a:p>
        <a:p>
          <a:pPr algn="r" rtl="1"/>
          <a:endParaRPr lang="he-IL"/>
        </a:p>
        <a:p>
          <a:pPr algn="r" rtl="1"/>
          <a:endParaRPr lang="he-IL"/>
        </a:p>
        <a:p>
          <a:pPr algn="r" rtl="1"/>
          <a:endParaRPr lang="he-IL"/>
        </a:p>
        <a:p>
          <a:pPr algn="r" rtl="1"/>
          <a:endParaRPr lang="he-IL"/>
        </a:p>
        <a:p>
          <a:pPr algn="r" rtl="1"/>
          <a:endParaRPr lang="he-IL"/>
        </a:p>
        <a:p>
          <a:pPr algn="r" rtl="1"/>
          <a:endParaRPr lang="he-IL"/>
        </a:p>
        <a:p>
          <a:pPr algn="r" rtl="1"/>
          <a:endParaRPr lang="he-IL"/>
        </a:p>
        <a:p>
          <a:pPr algn="r" rtl="1"/>
          <a:endParaRPr lang="he-IL"/>
        </a:p>
        <a:p>
          <a:pPr algn="r" rtl="1"/>
          <a:endParaRPr lang="he-IL"/>
        </a:p>
        <a:p>
          <a:pPr algn="r" rtl="1"/>
          <a:r>
            <a:rPr lang="he-IL" b="1" u="sng"/>
            <a:t>תשלומי חכירה</a:t>
          </a:r>
        </a:p>
        <a:p>
          <a:pPr algn="r" rtl="1"/>
          <a:r>
            <a:rPr lang="he-IL"/>
            <a:t>תשלומים המבוצעים על ידי חוכר למחכיר המתייחסים לזכות להשתמש בנכס בסיס במהלך תקופת החכירה. </a:t>
          </a:r>
        </a:p>
        <a:p>
          <a:pPr algn="r" rtl="1"/>
          <a:endParaRPr lang="he-IL"/>
        </a:p>
        <a:p>
          <a:pPr algn="r" rtl="1"/>
          <a:r>
            <a:rPr lang="he-IL"/>
            <a:t>תשלומי חכירה מורכבים מ: </a:t>
          </a:r>
        </a:p>
        <a:p>
          <a:pPr algn="r" rtl="1"/>
          <a:r>
            <a:rPr lang="he-IL"/>
            <a:t>א. תשלומים קבועים במהותם </a:t>
          </a:r>
          <a:r>
            <a:rPr lang="he-IL" u="sng"/>
            <a:t>בניכוי תמריצי חכירה כלשהם</a:t>
          </a:r>
          <a:r>
            <a:rPr lang="he-IL"/>
            <a:t>. </a:t>
          </a:r>
          <a:r>
            <a:rPr lang="he-IL">
              <a:solidFill>
                <a:srgbClr val="00B050"/>
              </a:solidFill>
            </a:rPr>
            <a:t>תמריצי חכירה הם תשלומים המבוצעים על ידי מחכיר לחוכר הקשורים לחכירה, או שיפוי או נטילה של עלויות של חוכר על ידי מחכיר. </a:t>
          </a:r>
        </a:p>
        <a:p>
          <a:pPr algn="r" rtl="1"/>
          <a:r>
            <a:rPr lang="he-IL"/>
            <a:t>ב. תשלומים חכירה משתנים, שתלויים במדד או בשער, לדוגמה תשלומים הצמודים למדד המחירים לצרכן או תשלומים הצמודים לשינויים בריבית משתנה או תשלומים המשתנים כדי לשקף שינויים בדמי השכירות בשוק. תשלומי חכירה משתנים שאינם תלויים במדד או בשער אינם נכללים בתשלומי החכירה, והם יוכרו ברווח או הפסד בתקופה שבה הם התהוו (אלא אם תקן אחר דורש להכיר בהם כחלק מעלות של נכס). </a:t>
          </a:r>
        </a:p>
        <a:p>
          <a:pPr algn="r" rtl="1"/>
          <a:r>
            <a:rPr lang="he-IL"/>
            <a:t>תשלומים חכירה משתנים שאינם תלויים במדד או בשער כוללים, לדוגמה, תשלומים המבוססים על ביצועים (לדוגמה הם נקבעים בשיעור מסוים מהמכירות) או על שימוש בנכס הבסיס. </a:t>
          </a:r>
        </a:p>
        <a:p>
          <a:pPr algn="r" rtl="1"/>
          <a:r>
            <a:rPr lang="he-IL"/>
            <a:t>תשלומי חכירה משתנים שתלויים במדד או בשער מוערכים בתחילת החכירה בהתאם לתנאים הקיימים באותו מועד, למשל אם התשלומים צמודים למדד אין להעריך את עליית המדד בעתיד אלא לחשב אותם בהתבסס על המדד הקיים, או אם למשל הם משתנים כדי להתאים את דמי החכירה המקובלים בשוק בעוד מספר תקופות יש להתייחס לדמי החכירה המקובלים בשוק נכון לאותו יום. </a:t>
          </a:r>
        </a:p>
        <a:p>
          <a:pPr algn="r" rtl="1"/>
          <a:r>
            <a:rPr lang="he-IL"/>
            <a:t>תשלומים הנקובים במטבע חוץ (או צמודים למטבע חוץ) נחשבים לצורך תקן זה כתשלומים קבועים. </a:t>
          </a:r>
        </a:p>
        <a:p>
          <a:pPr algn="r" rtl="1"/>
          <a:r>
            <a:rPr lang="he-IL"/>
            <a:t>ג. מחיר מימוש של אופציית רכישה אם ודאי באופן סביר שהחוכר יממש אופציה זו </a:t>
          </a:r>
        </a:p>
        <a:p>
          <a:pPr algn="r" rtl="1"/>
          <a:r>
            <a:rPr lang="he-IL"/>
            <a:t>ד. תשלומי קנסות לביטול החכירה, אם תקופת החכירה משקפת מימוש אופציה לבטל את החכירה על ידי החוכר </a:t>
          </a:r>
        </a:p>
        <a:p>
          <a:pPr algn="r" rtl="1"/>
          <a:r>
            <a:rPr lang="he-IL"/>
            <a:t>ה. סכומים החזויים לעמוד לתשלום על ידי החוכר בהתאם לערבות לערך שייר – ערבות של ערך שייר היא התחייבות של החוכר להחזיר את הנכס בתום תקופת החכירה לפחות בשווי מוגדר כלשהו. </a:t>
          </a:r>
        </a:p>
        <a:p>
          <a:pPr algn="r" rtl="1"/>
          <a:endParaRPr lang="he-IL"/>
        </a:p>
        <a:p>
          <a:pPr algn="r" rtl="1"/>
          <a:r>
            <a:rPr lang="he-IL" b="1" u="sng"/>
            <a:t>לדוגמה</a:t>
          </a:r>
          <a:r>
            <a:rPr lang="he-IL"/>
            <a:t>, חוכר התחייב להחזיר את הנכס למחכיר בתום תקופת החכירה בשווי 15,000 ש"ח לפחות, ובמועד תחילת החכירה החוכר מעריך שערך השייר של הנכס יהיה 9,000 ש"ח. </a:t>
          </a:r>
        </a:p>
        <a:p>
          <a:pPr algn="r" rtl="1"/>
          <a:r>
            <a:rPr lang="he-IL"/>
            <a:t>לפיכך, החוכר יכלול במסגרת תשלומי החכירה סך זה (6,000 ש"ח). </a:t>
          </a:r>
        </a:p>
        <a:p>
          <a:pPr algn="r" rtl="1"/>
          <a:r>
            <a:rPr lang="he-IL"/>
            <a:t>ראוי לציין כי תשלומי החכירה של </a:t>
          </a:r>
          <a:r>
            <a:rPr lang="he-IL" b="1" u="sng"/>
            <a:t>מחכיר</a:t>
          </a:r>
          <a:r>
            <a:rPr lang="he-IL"/>
            <a:t> כוללים את כל ערך השייר המובטח, כלומר בדוגמה זו תשלומי החכירה של המחכיר כוללים 15,000 ש"ח בגין ערך השייר המובטח לו. </a:t>
          </a:r>
        </a:p>
        <a:p>
          <a:pPr algn="r" rtl="1"/>
          <a:endParaRPr lang="he-IL"/>
        </a:p>
        <a:p>
          <a:pPr algn="r" rtl="1"/>
          <a:r>
            <a:rPr lang="he-IL" b="1" u="sng"/>
            <a:t>דגשים לגבי תשלומי חכירה קבועים במהותם </a:t>
          </a:r>
        </a:p>
        <a:p>
          <a:pPr algn="r" rtl="1"/>
          <a:r>
            <a:rPr lang="he-IL"/>
            <a:t>א. תשלומי חכירה קבועים במהותם עשויים לכלול השתנות, אך במהותם הם בלתי נמנעים. </a:t>
          </a:r>
        </a:p>
        <a:p>
          <a:pPr algn="r" rtl="1"/>
          <a:r>
            <a:rPr lang="he-IL"/>
            <a:t>לדוגמה, אם התשלומים נבנים כתשלומי חכירה משתנים, אך אין השתנות אמיתית בתשלומים אלה כגון תשלומים שחובה לבצע אותם רק אם אירוע מתרחש כאשר אין אפשרות אמיתית שהאירוע לא יתרחש. </a:t>
          </a:r>
        </a:p>
        <a:p>
          <a:pPr algn="r" rtl="1"/>
          <a:r>
            <a:rPr lang="he-IL"/>
            <a:t>ב. אם התשלומים נבנו מלכתחילה כתשלומי חכירה משתנים, הצמודים לשימוש בנכס הבסיס, אבל נקבע שממועד כלשהו התשלומים יהפכו לקבועים ליתרת תקופת החכירה, אז עד ההתבררות הם יטופלו כתשלומים משתנים ולאחר מכן הם הופכים לקבועים. </a:t>
          </a:r>
        </a:p>
        <a:p>
          <a:pPr algn="r" rtl="1"/>
          <a:r>
            <a:rPr lang="he-IL"/>
            <a:t>ג. אם יש יותר מאפשרות אחת של תשלומים שהחוכר יכול לבצע, אך רק אפשרות אחת היא מציאותית, יש להתחשב רק באפשרות המציאותית. אם יש כמה אפשרויות מציאותיות, והחוכר צריך לבצע לפחות אחת מהן, יש להביא בחשבון את התשלומים המינימליים.</a:t>
          </a:r>
        </a:p>
        <a:p>
          <a:pPr algn="r" rtl="1"/>
          <a:endParaRPr lang="he-IL"/>
        </a:p>
        <a:p>
          <a:pPr algn="r" rtl="1"/>
          <a:r>
            <a:rPr lang="he-IL" b="1" u="sng"/>
            <a:t>לדוגמה</a:t>
          </a:r>
          <a:r>
            <a:rPr lang="he-IL"/>
            <a:t>, הסכם החכירה קובע שהחוכר ישלם את הסכום הגבוה מבין 100,000 ש"ח לשנה לבין 2% מהמכירות השנתיות. </a:t>
          </a:r>
        </a:p>
        <a:p>
          <a:pPr algn="r" rtl="1"/>
          <a:r>
            <a:rPr lang="he-IL"/>
            <a:t>תשלומי החכירה כוללים 100,000 ש"ח כי זה הסכום המינימלי שישולם. </a:t>
          </a:r>
        </a:p>
      </xdr:txBody>
    </xdr:sp>
    <xdr:clientData/>
  </xdr:twoCellAnchor>
  <xdr:twoCellAnchor>
    <xdr:from>
      <xdr:col>0</xdr:col>
      <xdr:colOff>101600</xdr:colOff>
      <xdr:row>46</xdr:row>
      <xdr:rowOff>152400</xdr:rowOff>
    </xdr:from>
    <xdr:to>
      <xdr:col>7</xdr:col>
      <xdr:colOff>495300</xdr:colOff>
      <xdr:row>57</xdr:row>
      <xdr:rowOff>82550</xdr:rowOff>
    </xdr:to>
    <xdr:sp macro="" textlink="">
      <xdr:nvSpPr>
        <xdr:cNvPr id="3" name="TextBox 2">
          <a:extLst>
            <a:ext uri="{FF2B5EF4-FFF2-40B4-BE49-F238E27FC236}">
              <a16:creationId xmlns:a16="http://schemas.microsoft.com/office/drawing/2014/main" id="{F4B95C17-C4B4-0D38-6F89-E31AC668C79D}"/>
            </a:ext>
          </a:extLst>
        </xdr:cNvPr>
        <xdr:cNvSpPr txBox="1"/>
      </xdr:nvSpPr>
      <xdr:spPr>
        <a:xfrm>
          <a:off x="13518718200" y="9499600"/>
          <a:ext cx="6172200" cy="2165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שיעור הריבית הגלום בחכירה </a:t>
          </a:r>
        </a:p>
        <a:p>
          <a:pPr algn="r" rtl="1"/>
          <a:r>
            <a:rPr lang="he-IL"/>
            <a:t>זהו ערך אשר מוגדר כשיעור הריבית שגורם לשוויון בין: </a:t>
          </a:r>
        </a:p>
        <a:p>
          <a:pPr algn="r" rtl="1"/>
          <a:r>
            <a:rPr lang="he-IL"/>
            <a:t>• ערך נוכחי של תשלומי החכירה של המחכיר + שייר שאינו מובטח; לבין </a:t>
          </a:r>
        </a:p>
        <a:p>
          <a:pPr algn="r" rtl="1"/>
          <a:r>
            <a:rPr lang="he-IL"/>
            <a:t>• שווי הוגן של נכס הבסיס + עלויות ישירות ראשוניות של המחכיר.</a:t>
          </a:r>
        </a:p>
        <a:p>
          <a:pPr algn="r" rtl="1"/>
          <a:r>
            <a:rPr lang="he-IL"/>
            <a:t>אם </a:t>
          </a:r>
          <a:r>
            <a:rPr lang="he-IL" b="1" u="sng"/>
            <a:t>המחכיר</a:t>
          </a:r>
          <a:r>
            <a:rPr lang="he-IL"/>
            <a:t> אינו יצרן או סוחר עלויות ישירות ראשוניות של המחכיר יזקפו להשקעה בחכירה (והן משפיעות על שיעור הריבית הגלום בחכירה). </a:t>
          </a:r>
        </a:p>
        <a:p>
          <a:pPr algn="r" rtl="1"/>
          <a:r>
            <a:rPr lang="he-IL"/>
            <a:t>אם המחכיר הוא יצרן או סוחר, עלויות ישירות ראשוניות יוכרו ברווח והפסד בתחילת החכירה. </a:t>
          </a:r>
        </a:p>
        <a:p>
          <a:pPr algn="r" rtl="1"/>
          <a:endParaRPr lang="he-IL" sz="1100"/>
        </a:p>
        <a:p>
          <a:pPr algn="r" rtl="1"/>
          <a:r>
            <a:rPr lang="he-IL" sz="1100"/>
            <a:t>** אם שיעור הריבית הגלום בחכירה איננו ניתן לקביעה בנקל, החוכר צריך להשתמש בשיעור הריבית התוספתי.</a:t>
          </a:r>
        </a:p>
        <a:p>
          <a:pPr algn="r" rtl="1"/>
          <a:r>
            <a:rPr lang="he-IL" sz="1100"/>
            <a:t>שיעור הריבית התוספתי הוא זה אשר היה נדרש לשלם החוכר עבור הלוואה להשגת נכס דומה</a:t>
          </a:r>
          <a:r>
            <a:rPr lang="he-IL" sz="1100" baseline="0"/>
            <a:t> לנכס זכות השימוש</a:t>
          </a:r>
        </a:p>
        <a:p>
          <a:pPr algn="r" rtl="1"/>
          <a:r>
            <a:rPr lang="he-IL" sz="1100" baseline="0"/>
            <a:t>לתקופה דומה, ברמת בטחונות דומה ובסביבה כלכלית דומה. </a:t>
          </a:r>
          <a:endParaRPr lang="en-US" sz="1100"/>
        </a:p>
        <a:p>
          <a:pPr algn="r" rtl="1"/>
          <a:endParaRPr lang="en-US" sz="1100"/>
        </a:p>
      </xdr:txBody>
    </xdr:sp>
    <xdr:clientData/>
  </xdr:twoCellAnchor>
  <xdr:twoCellAnchor>
    <xdr:from>
      <xdr:col>0</xdr:col>
      <xdr:colOff>0</xdr:colOff>
      <xdr:row>121</xdr:row>
      <xdr:rowOff>0</xdr:rowOff>
    </xdr:from>
    <xdr:to>
      <xdr:col>7</xdr:col>
      <xdr:colOff>552450</xdr:colOff>
      <xdr:row>143</xdr:row>
      <xdr:rowOff>31750</xdr:rowOff>
    </xdr:to>
    <xdr:sp macro="" textlink="">
      <xdr:nvSpPr>
        <xdr:cNvPr id="4" name="TextBox 3">
          <a:extLst>
            <a:ext uri="{FF2B5EF4-FFF2-40B4-BE49-F238E27FC236}">
              <a16:creationId xmlns:a16="http://schemas.microsoft.com/office/drawing/2014/main" id="{EFAEA5DE-0638-6D43-8F76-3340E4B65B9B}"/>
            </a:ext>
          </a:extLst>
        </xdr:cNvPr>
        <xdr:cNvSpPr txBox="1"/>
      </xdr:nvSpPr>
      <xdr:spPr>
        <a:xfrm>
          <a:off x="13518661050" y="20193000"/>
          <a:ext cx="6369050" cy="4502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מדידת נכס זכות שימוש במועד ההכרה לראשונה</a:t>
          </a:r>
        </a:p>
        <a:p>
          <a:pPr algn="r" rtl="1"/>
          <a:endParaRPr lang="he-IL"/>
        </a:p>
        <a:p>
          <a:pPr algn="r" rtl="1"/>
          <a:r>
            <a:rPr lang="he-IL" b="1"/>
            <a:t>נכס זכות שימוש </a:t>
          </a:r>
          <a:r>
            <a:rPr lang="he-IL"/>
            <a:t>– מוגדר כנכס אשר </a:t>
          </a:r>
          <a:r>
            <a:rPr lang="he-IL" u="sng"/>
            <a:t>מייצג זכות של חוכר להשתמש בנכס בסיס </a:t>
          </a:r>
          <a:r>
            <a:rPr lang="he-IL"/>
            <a:t>לתקופת החכירה. </a:t>
          </a:r>
        </a:p>
        <a:p>
          <a:pPr algn="r" rtl="1"/>
          <a:endParaRPr lang="he-IL"/>
        </a:p>
        <a:p>
          <a:pPr algn="r" rtl="1"/>
          <a:r>
            <a:rPr lang="he-IL"/>
            <a:t>נכס זכות שימוש יימדד בהכרה לראשונה </a:t>
          </a:r>
          <a:r>
            <a:rPr lang="he-IL" b="1"/>
            <a:t>בעלות</a:t>
          </a:r>
          <a:r>
            <a:rPr lang="he-IL" b="0"/>
            <a:t>,</a:t>
          </a:r>
          <a:r>
            <a:rPr lang="he-IL" b="0" baseline="0"/>
            <a:t> המורכבת מ:</a:t>
          </a:r>
        </a:p>
        <a:p>
          <a:pPr algn="r" rtl="1"/>
          <a:r>
            <a:rPr lang="he-IL" b="0" baseline="0"/>
            <a:t>א. סכום המדידה לראשונה של התחייבות החכירה.</a:t>
          </a:r>
        </a:p>
        <a:p>
          <a:pPr algn="r" rtl="1"/>
          <a:r>
            <a:rPr lang="he-IL" b="0" baseline="0"/>
            <a:t>ב. תשלומי חכירה כלשהם שבוצעו במועד התחילה או לפניו, בניכוי תמריצי חכירה ככל שהתקבלו</a:t>
          </a:r>
        </a:p>
        <a:p>
          <a:pPr algn="r" rtl="1"/>
          <a:r>
            <a:rPr lang="he-IL" b="0" baseline="0"/>
            <a:t>ג. עלויות ישירות ראשוניות שהתהוו לחוכר</a:t>
          </a:r>
        </a:p>
        <a:p>
          <a:pPr algn="r" rtl="1"/>
          <a:r>
            <a:rPr lang="he-IL" b="0" baseline="0"/>
            <a:t>ד. אומדן עלויות בגין פירוק ופינוי נכס הבסיס ככל שרלוונטי</a:t>
          </a:r>
        </a:p>
        <a:p>
          <a:pPr algn="r" rtl="1"/>
          <a:endParaRPr lang="he-IL"/>
        </a:p>
        <a:p>
          <a:pPr algn="r" rtl="1"/>
          <a:r>
            <a:rPr lang="he-IL" b="1" u="sng"/>
            <a:t>מדידה עוקבת והצגה של נכס זכות שימוש</a:t>
          </a:r>
        </a:p>
        <a:p>
          <a:pPr algn="r" rtl="1"/>
          <a:r>
            <a:rPr lang="he-IL"/>
            <a:t>המדידה מתאפשרת לפי:</a:t>
          </a:r>
        </a:p>
        <a:p>
          <a:pPr algn="r" rtl="1"/>
          <a:r>
            <a:rPr lang="he-IL"/>
            <a:t>א. מודל העלות (בניכוי פחת נצבר). בהקשר זה: אורך החיים להפחתה הוא אורך החיים השימושיים (אם החכירה מעבירה בעלות או שהעלות</a:t>
          </a:r>
          <a:r>
            <a:rPr lang="he-IL" baseline="0"/>
            <a:t> משקפת מימוש אופציית רכישה צפוי) או, ככל שאין העברה כזו - לפי הנמוך מבין אורך החיים השימושיים של הנכס ותקופת החכירה.</a:t>
          </a:r>
        </a:p>
        <a:p>
          <a:pPr algn="r" rtl="1"/>
          <a:r>
            <a:rPr lang="he-IL" baseline="0"/>
            <a:t>ב. בחכירת נדל״ן להשקעה לפי שווי הוגן, נכסי זכות השימוש יימדדו לפי שווי הוגן.</a:t>
          </a:r>
        </a:p>
        <a:p>
          <a:pPr algn="r" rtl="1"/>
          <a:r>
            <a:rPr lang="he-IL" baseline="0"/>
            <a:t>ג. בחכירת פריט המהווה חלק מקבוצת רכוש קבוע הנמדד לפי הערכה מחדש, ניתן (אך לא חובה!) למדוד את הפריט לפי הערכה מחדש. </a:t>
          </a:r>
        </a:p>
        <a:p>
          <a:pPr algn="r" rtl="1"/>
          <a:endParaRPr lang="he-IL" baseline="0"/>
        </a:p>
        <a:p>
          <a:pPr algn="r" rtl="1"/>
          <a:r>
            <a:rPr lang="he-IL" b="1" u="sng" baseline="0"/>
            <a:t>הצגה של נכס זכות שימוש</a:t>
          </a:r>
        </a:p>
        <a:p>
          <a:pPr algn="r" rtl="1"/>
          <a:r>
            <a:rPr lang="he-IL" baseline="0"/>
            <a:t>חובה להציג נכס זכות שימוש בנפרד מנכסים אחרים, אלא אם מדובר בנדל״ן להשקעה. </a:t>
          </a:r>
          <a:endParaRPr lang="he-IL"/>
        </a:p>
        <a:p>
          <a:pPr algn="r" rtl="1"/>
          <a:endParaRPr lang="he-IL"/>
        </a:p>
        <a:p>
          <a:pPr algn="r" rtl="1"/>
          <a:endParaRPr lang="he-IL"/>
        </a:p>
        <a:p>
          <a:pPr algn="r" rtl="1"/>
          <a:r>
            <a:rPr lang="he-IL" b="1" u="sng"/>
            <a:t>מדידה עוקבת של התחייבות בגין חכירה</a:t>
          </a:r>
        </a:p>
        <a:p>
          <a:pPr algn="r" rtl="1"/>
          <a:r>
            <a:rPr lang="he-IL"/>
            <a:t>ההתחייבות תימדד תמיד בעלות מופחתת (שיטת הריבית האפקטיבית). </a:t>
          </a:r>
        </a:p>
        <a:p>
          <a:pPr algn="r" rtl="1"/>
          <a:r>
            <a:rPr lang="he-IL"/>
            <a:t>הוצאות מימון תוכרנה לפי הריבית שנקבעה במועד תחילת החכירה. </a:t>
          </a:r>
        </a:p>
        <a:p>
          <a:pPr algn="r" rtl="1"/>
          <a:r>
            <a:rPr lang="he-IL"/>
            <a:t>יש להציג התחייבות בגין חכירה בנפרד מהתחייבויות אחרות. </a:t>
          </a:r>
        </a:p>
      </xdr:txBody>
    </xdr:sp>
    <xdr:clientData/>
  </xdr:twoCellAnchor>
  <xdr:twoCellAnchor>
    <xdr:from>
      <xdr:col>0</xdr:col>
      <xdr:colOff>0</xdr:colOff>
      <xdr:row>312</xdr:row>
      <xdr:rowOff>0</xdr:rowOff>
    </xdr:from>
    <xdr:to>
      <xdr:col>7</xdr:col>
      <xdr:colOff>469900</xdr:colOff>
      <xdr:row>323</xdr:row>
      <xdr:rowOff>82550</xdr:rowOff>
    </xdr:to>
    <xdr:sp macro="" textlink="">
      <xdr:nvSpPr>
        <xdr:cNvPr id="5" name="TextBox 4">
          <a:extLst>
            <a:ext uri="{FF2B5EF4-FFF2-40B4-BE49-F238E27FC236}">
              <a16:creationId xmlns:a16="http://schemas.microsoft.com/office/drawing/2014/main" id="{85FF4DB3-4A81-E94E-AECA-8174601E05D9}"/>
            </a:ext>
          </a:extLst>
        </xdr:cNvPr>
        <xdr:cNvSpPr txBox="1"/>
      </xdr:nvSpPr>
      <xdr:spPr>
        <a:xfrm>
          <a:off x="13518743600" y="58267600"/>
          <a:ext cx="6400800" cy="2317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הקלות לחוכ</a:t>
          </a:r>
          <a:r>
            <a:rPr lang="he-IL" b="1" u="sng" baseline="0"/>
            <a:t>ר - חכירות טווח קצר ופריטים ״קטנים״</a:t>
          </a:r>
          <a:endParaRPr lang="he-IL" b="1" u="sng"/>
        </a:p>
        <a:p>
          <a:pPr algn="r" rtl="1"/>
          <a:endParaRPr lang="he-IL"/>
        </a:p>
        <a:p>
          <a:pPr algn="r" rtl="1"/>
          <a:r>
            <a:rPr lang="he-IL"/>
            <a:t>התקן</a:t>
          </a:r>
          <a:r>
            <a:rPr lang="he-IL" baseline="0"/>
            <a:t> מאפשר לחוכר להכיר בתשלומי החכירה כהוצאות בקו ישר, במקום להכיר בנכס זכות שימוש והתחייבות זכות שימוש. </a:t>
          </a:r>
        </a:p>
        <a:p>
          <a:pPr algn="r" rtl="1"/>
          <a:r>
            <a:rPr lang="he-IL" baseline="0"/>
            <a:t>גישה זו היא נאיבית יותר ופשוטה בהרבה, אך איננה מייצגת בצורה כלכלית נכונה את ההטבה המגולמת בצריכת נכס זכות השימוש והערכים הנלווים.</a:t>
          </a:r>
        </a:p>
        <a:p>
          <a:pPr algn="r" rtl="1"/>
          <a:endParaRPr lang="he-IL" baseline="0"/>
        </a:p>
        <a:p>
          <a:pPr algn="r" rtl="1"/>
          <a:r>
            <a:rPr lang="he-IL" baseline="0"/>
            <a:t>ניתן ליישם את ההקלה כאשר:</a:t>
          </a:r>
        </a:p>
        <a:p>
          <a:pPr algn="r" rtl="1"/>
          <a:r>
            <a:rPr lang="he-IL" baseline="0"/>
            <a:t>א. מדובר בחכירות לטווח קצר - לתקופה של עד שנה, ואין בהן אופציית רכישה. </a:t>
          </a:r>
        </a:p>
        <a:p>
          <a:pPr algn="r" rtl="1"/>
          <a:r>
            <a:rPr lang="he-IL" baseline="0"/>
            <a:t>ב. מדובר בחכירות שבהן נכס הבסיס הוא בעל ערך נמוך, ואיננו קשור במידה רבה לנכסים אחרים. מחשבים אישיים, טאבלטים וכו׳ בחכירה - נהנים מכך. מכוניות ונדל״ן - </a:t>
          </a:r>
          <a:r>
            <a:rPr lang="he-IL" u="sng" baseline="0"/>
            <a:t>לא סביר </a:t>
          </a:r>
          <a:r>
            <a:rPr lang="he-IL" baseline="0"/>
            <a:t>שניתן ליישם את ההקלה. </a:t>
          </a:r>
        </a:p>
        <a:p>
          <a:pPr algn="r" rtl="1"/>
          <a:endParaRPr lang="he-IL" baseline="0"/>
        </a:p>
        <a:p>
          <a:pPr algn="r" rtl="1"/>
          <a:endParaRPr lang="he-IL"/>
        </a:p>
      </xdr:txBody>
    </xdr:sp>
    <xdr:clientData/>
  </xdr:twoCellAnchor>
  <xdr:twoCellAnchor>
    <xdr:from>
      <xdr:col>0</xdr:col>
      <xdr:colOff>0</xdr:colOff>
      <xdr:row>324</xdr:row>
      <xdr:rowOff>95250</xdr:rowOff>
    </xdr:from>
    <xdr:to>
      <xdr:col>7</xdr:col>
      <xdr:colOff>476250</xdr:colOff>
      <xdr:row>342</xdr:row>
      <xdr:rowOff>146050</xdr:rowOff>
    </xdr:to>
    <xdr:sp macro="" textlink="">
      <xdr:nvSpPr>
        <xdr:cNvPr id="6" name="TextBox 5">
          <a:extLst>
            <a:ext uri="{FF2B5EF4-FFF2-40B4-BE49-F238E27FC236}">
              <a16:creationId xmlns:a16="http://schemas.microsoft.com/office/drawing/2014/main" id="{CFD815E2-200D-7D48-1BEA-7FDFE50D99BB}"/>
            </a:ext>
          </a:extLst>
        </xdr:cNvPr>
        <xdr:cNvSpPr txBox="1"/>
      </xdr:nvSpPr>
      <xdr:spPr>
        <a:xfrm>
          <a:off x="13518737250" y="60801250"/>
          <a:ext cx="6407150" cy="3708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הערכה מחדש של התחייבות החכירה</a:t>
          </a:r>
        </a:p>
        <a:p>
          <a:pPr algn="r" rtl="1"/>
          <a:endParaRPr lang="he-IL"/>
        </a:p>
        <a:p>
          <a:pPr algn="r" rtl="1"/>
          <a:r>
            <a:rPr lang="he-IL"/>
            <a:t>התקן דורש </a:t>
          </a:r>
          <a:r>
            <a:rPr lang="he-IL" b="1" u="sng"/>
            <a:t>מהחוכר</a:t>
          </a:r>
          <a:r>
            <a:rPr lang="he-IL"/>
            <a:t> למדוד מחדש את התחייבות החכירה על מנת לשקף שינויים לתשלומי החכירה. </a:t>
          </a:r>
        </a:p>
        <a:p>
          <a:pPr algn="r" rtl="1"/>
          <a:endParaRPr lang="he-IL"/>
        </a:p>
        <a:p>
          <a:pPr algn="r" rtl="1"/>
          <a:r>
            <a:rPr lang="he-IL"/>
            <a:t>שינויים בהתחייבות החכירה יוכרו כנגד הנכס זכות שימוש עד איפוסו, ומעבר לכך יוכר רווח.</a:t>
          </a:r>
        </a:p>
        <a:p>
          <a:pPr algn="r" rtl="1"/>
          <a:endParaRPr lang="he-IL"/>
        </a:p>
        <a:p>
          <a:pPr algn="r" rtl="1"/>
          <a:r>
            <a:rPr lang="he-IL"/>
            <a:t>אם חל שינוי בתקופת החכירה או אם חל שינוי בהערכה של אופציה לרכישת נכס הבסיס יש למדוד מחדש את ההתחייבות על ידי היוון של תשלומי החכירה המעודכנים על ידי </a:t>
          </a:r>
          <a:r>
            <a:rPr lang="he-IL" b="1" u="sng"/>
            <a:t>שימוש בשיעור היוון מעודכן</a:t>
          </a:r>
          <a:r>
            <a:rPr lang="he-IL"/>
            <a:t>. </a:t>
          </a:r>
        </a:p>
        <a:p>
          <a:pPr algn="r" rtl="1"/>
          <a:endParaRPr lang="he-IL"/>
        </a:p>
        <a:p>
          <a:pPr algn="r" rtl="1"/>
          <a:r>
            <a:rPr lang="he-IL" b="1">
              <a:solidFill>
                <a:srgbClr val="FF0000"/>
              </a:solidFill>
            </a:rPr>
            <a:t>שיעור ההיוון המעודכן </a:t>
          </a:r>
          <a:r>
            <a:rPr lang="he-IL"/>
            <a:t>הוא בהתאם </a:t>
          </a:r>
          <a:r>
            <a:rPr lang="he-IL" b="1">
              <a:solidFill>
                <a:srgbClr val="FF0000"/>
              </a:solidFill>
            </a:rPr>
            <a:t>לריבית הגלומה בחכירה ליתרת התקופה </a:t>
          </a:r>
          <a:r>
            <a:rPr lang="he-IL"/>
            <a:t>אם הוא ניתן לקביעה בנקל. </a:t>
          </a:r>
        </a:p>
        <a:p>
          <a:pPr algn="r" rtl="1"/>
          <a:endParaRPr lang="he-IL"/>
        </a:p>
        <a:p>
          <a:pPr algn="r" rtl="1"/>
          <a:r>
            <a:rPr lang="he-IL"/>
            <a:t>אחרת יש להשתמש </a:t>
          </a:r>
          <a:r>
            <a:rPr lang="he-IL" u="sng"/>
            <a:t>בשיעור הריבית התוספתי של החוכר במועד ההערכה מחדש</a:t>
          </a:r>
          <a:r>
            <a:rPr lang="he-IL"/>
            <a:t>. </a:t>
          </a:r>
        </a:p>
        <a:p>
          <a:pPr algn="r" rtl="1"/>
          <a:endParaRPr lang="he-IL"/>
        </a:p>
        <a:p>
          <a:pPr algn="r" rtl="1"/>
          <a:r>
            <a:rPr lang="he-IL"/>
            <a:t>אם חל שינוי בתשלום הצפוי בהתאם לערבות ערך השייר או </a:t>
          </a:r>
          <a:r>
            <a:rPr lang="he-IL" b="1">
              <a:solidFill>
                <a:srgbClr val="00B050"/>
              </a:solidFill>
            </a:rPr>
            <a:t>שחל שינוי בתשלומי חכירה הנובע משינוי במדד</a:t>
          </a:r>
          <a:r>
            <a:rPr lang="he-IL"/>
            <a:t> או בשער המשמש לקביעת תשלומי החכירה:</a:t>
          </a:r>
        </a:p>
        <a:p>
          <a:pPr algn="r" rtl="1"/>
          <a:endParaRPr lang="he-IL"/>
        </a:p>
        <a:p>
          <a:pPr algn="r" rtl="1"/>
          <a:r>
            <a:rPr lang="he-IL">
              <a:solidFill>
                <a:srgbClr val="00B050"/>
              </a:solidFill>
            </a:rPr>
            <a:t>יש למדוד מחדש את ההתחייבות על ידי היוון של תשלומי החכירה המעודכנים </a:t>
          </a:r>
          <a:r>
            <a:rPr lang="he-IL" b="1" u="sng">
              <a:solidFill>
                <a:srgbClr val="00B050"/>
              </a:solidFill>
            </a:rPr>
            <a:t>ללא שינוי בשיעור ההיוון </a:t>
          </a:r>
          <a:r>
            <a:rPr lang="he-IL">
              <a:solidFill>
                <a:srgbClr val="00B050"/>
              </a:solidFill>
            </a:rPr>
            <a:t>. </a:t>
          </a:r>
        </a:p>
        <a:p>
          <a:pPr algn="r" rtl="1"/>
          <a:endParaRPr lang="he-IL"/>
        </a:p>
        <a:p>
          <a:pPr algn="r" rtl="1"/>
          <a:r>
            <a:rPr lang="he-IL"/>
            <a:t>שינוי במדד או בשער עשוי להיות למשל שינוי במדד מחירים כללי, שינוי בריבית שוק</a:t>
          </a:r>
          <a:r>
            <a:rPr lang="he-IL" baseline="0"/>
            <a:t> </a:t>
          </a:r>
          <a:r>
            <a:rPr lang="he-IL"/>
            <a:t>או בשיעורי השכירות בשוק.</a:t>
          </a:r>
        </a:p>
        <a:p>
          <a:pPr algn="r" rtl="1"/>
          <a:endParaRPr lang="he-IL"/>
        </a:p>
        <a:p>
          <a:pPr algn="r" rtl="1"/>
          <a:r>
            <a:rPr lang="he-IL" b="1"/>
            <a:t>שיעור ההיוון משתנה במקרה כזה רק אם השינוי נובע משינוי בשיעור הריבית. </a:t>
          </a:r>
        </a:p>
        <a:p>
          <a:pPr algn="r" rtl="1"/>
          <a:endParaRPr lang="he-IL" b="1"/>
        </a:p>
        <a:p>
          <a:pPr algn="r" rtl="1"/>
          <a:endParaRPr lang="he-IL" b="1"/>
        </a:p>
      </xdr:txBody>
    </xdr:sp>
    <xdr:clientData/>
  </xdr:twoCellAnchor>
  <xdr:twoCellAnchor editAs="oneCell">
    <xdr:from>
      <xdr:col>0</xdr:col>
      <xdr:colOff>34890</xdr:colOff>
      <xdr:row>703</xdr:row>
      <xdr:rowOff>97693</xdr:rowOff>
    </xdr:from>
    <xdr:to>
      <xdr:col>7</xdr:col>
      <xdr:colOff>71680</xdr:colOff>
      <xdr:row>721</xdr:row>
      <xdr:rowOff>169987</xdr:rowOff>
    </xdr:to>
    <xdr:pic>
      <xdr:nvPicPr>
        <xdr:cNvPr id="8" name="Picture 7">
          <a:extLst>
            <a:ext uri="{FF2B5EF4-FFF2-40B4-BE49-F238E27FC236}">
              <a16:creationId xmlns:a16="http://schemas.microsoft.com/office/drawing/2014/main" id="{A2B4A316-EEB2-48D5-AB59-B7631F3AEE2E}"/>
            </a:ext>
          </a:extLst>
        </xdr:cNvPr>
        <xdr:cNvPicPr>
          <a:picLocks noChangeAspect="1"/>
        </xdr:cNvPicPr>
      </xdr:nvPicPr>
      <xdr:blipFill>
        <a:blip xmlns:r="http://schemas.openxmlformats.org/officeDocument/2006/relationships" r:embed="rId1"/>
        <a:stretch>
          <a:fillRect/>
        </a:stretch>
      </xdr:blipFill>
      <xdr:spPr>
        <a:xfrm>
          <a:off x="13484925927" y="132114891"/>
          <a:ext cx="5935172" cy="3714820"/>
        </a:xfrm>
        <a:prstGeom prst="rect">
          <a:avLst/>
        </a:prstGeom>
      </xdr:spPr>
    </xdr:pic>
    <xdr:clientData/>
  </xdr:twoCellAnchor>
  <xdr:twoCellAnchor>
    <xdr:from>
      <xdr:col>0</xdr:col>
      <xdr:colOff>717550</xdr:colOff>
      <xdr:row>168</xdr:row>
      <xdr:rowOff>0</xdr:rowOff>
    </xdr:from>
    <xdr:to>
      <xdr:col>0</xdr:col>
      <xdr:colOff>727075</xdr:colOff>
      <xdr:row>170</xdr:row>
      <xdr:rowOff>41275</xdr:rowOff>
    </xdr:to>
    <xdr:cxnSp macro="">
      <xdr:nvCxnSpPr>
        <xdr:cNvPr id="9" name="Straight Arrow Connector 8">
          <a:extLst>
            <a:ext uri="{FF2B5EF4-FFF2-40B4-BE49-F238E27FC236}">
              <a16:creationId xmlns:a16="http://schemas.microsoft.com/office/drawing/2014/main" id="{E334AC2E-33BA-CE11-6A7E-AA0526F3E772}"/>
            </a:ext>
          </a:extLst>
        </xdr:cNvPr>
        <xdr:cNvCxnSpPr/>
      </xdr:nvCxnSpPr>
      <xdr:spPr>
        <a:xfrm>
          <a:off x="13524455425" y="36093400"/>
          <a:ext cx="9525" cy="447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375</xdr:row>
      <xdr:rowOff>171450</xdr:rowOff>
    </xdr:from>
    <xdr:to>
      <xdr:col>0</xdr:col>
      <xdr:colOff>742950</xdr:colOff>
      <xdr:row>379</xdr:row>
      <xdr:rowOff>15875</xdr:rowOff>
    </xdr:to>
    <xdr:cxnSp macro="">
      <xdr:nvCxnSpPr>
        <xdr:cNvPr id="11" name="Straight Arrow Connector 10">
          <a:extLst>
            <a:ext uri="{FF2B5EF4-FFF2-40B4-BE49-F238E27FC236}">
              <a16:creationId xmlns:a16="http://schemas.microsoft.com/office/drawing/2014/main" id="{223A6F1E-6439-D290-52BA-D30E400A3DD8}"/>
            </a:ext>
          </a:extLst>
        </xdr:cNvPr>
        <xdr:cNvCxnSpPr/>
      </xdr:nvCxnSpPr>
      <xdr:spPr>
        <a:xfrm>
          <a:off x="13524439550" y="78403450"/>
          <a:ext cx="0" cy="657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390</xdr:row>
      <xdr:rowOff>6350</xdr:rowOff>
    </xdr:from>
    <xdr:to>
      <xdr:col>6</xdr:col>
      <xdr:colOff>615950</xdr:colOff>
      <xdr:row>391</xdr:row>
      <xdr:rowOff>130175</xdr:rowOff>
    </xdr:to>
    <xdr:cxnSp macro="">
      <xdr:nvCxnSpPr>
        <xdr:cNvPr id="13" name="Straight Arrow Connector 12">
          <a:extLst>
            <a:ext uri="{FF2B5EF4-FFF2-40B4-BE49-F238E27FC236}">
              <a16:creationId xmlns:a16="http://schemas.microsoft.com/office/drawing/2014/main" id="{AB08D5F2-D4E9-3A23-8B4B-B6AB2C3C8FE6}"/>
            </a:ext>
          </a:extLst>
        </xdr:cNvPr>
        <xdr:cNvCxnSpPr/>
      </xdr:nvCxnSpPr>
      <xdr:spPr>
        <a:xfrm>
          <a:off x="13519537350" y="81286350"/>
          <a:ext cx="0"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336550</xdr:colOff>
      <xdr:row>389</xdr:row>
      <xdr:rowOff>184150</xdr:rowOff>
    </xdr:from>
    <xdr:to>
      <xdr:col>6</xdr:col>
      <xdr:colOff>31750</xdr:colOff>
      <xdr:row>391</xdr:row>
      <xdr:rowOff>82550</xdr:rowOff>
    </xdr:to>
    <xdr:cxnSp macro="">
      <xdr:nvCxnSpPr>
        <xdr:cNvPr id="14" name="Straight Arrow Connector 13">
          <a:extLst>
            <a:ext uri="{FF2B5EF4-FFF2-40B4-BE49-F238E27FC236}">
              <a16:creationId xmlns:a16="http://schemas.microsoft.com/office/drawing/2014/main" id="{05E97A60-3D77-6A07-2C0A-FE8588604CF3}"/>
            </a:ext>
          </a:extLst>
        </xdr:cNvPr>
        <xdr:cNvCxnSpPr/>
      </xdr:nvCxnSpPr>
      <xdr:spPr>
        <a:xfrm>
          <a:off x="13520121550" y="81260950"/>
          <a:ext cx="520700" cy="304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22225</xdr:colOff>
      <xdr:row>421</xdr:row>
      <xdr:rowOff>117475</xdr:rowOff>
    </xdr:from>
    <xdr:to>
      <xdr:col>7</xdr:col>
      <xdr:colOff>615950</xdr:colOff>
      <xdr:row>421</xdr:row>
      <xdr:rowOff>120650</xdr:rowOff>
    </xdr:to>
    <xdr:cxnSp macro="">
      <xdr:nvCxnSpPr>
        <xdr:cNvPr id="17" name="Straight Connector 16">
          <a:extLst>
            <a:ext uri="{FF2B5EF4-FFF2-40B4-BE49-F238E27FC236}">
              <a16:creationId xmlns:a16="http://schemas.microsoft.com/office/drawing/2014/main" id="{CDEC944F-C91B-47AA-D155-304A29F15C58}"/>
            </a:ext>
          </a:extLst>
        </xdr:cNvPr>
        <xdr:cNvCxnSpPr/>
      </xdr:nvCxnSpPr>
      <xdr:spPr>
        <a:xfrm flipH="1">
          <a:off x="13518711850" y="87696675"/>
          <a:ext cx="2244725" cy="317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622300</xdr:colOff>
      <xdr:row>421</xdr:row>
      <xdr:rowOff>120650</xdr:rowOff>
    </xdr:from>
    <xdr:to>
      <xdr:col>7</xdr:col>
      <xdr:colOff>631825</xdr:colOff>
      <xdr:row>431</xdr:row>
      <xdr:rowOff>92075</xdr:rowOff>
    </xdr:to>
    <xdr:cxnSp macro="">
      <xdr:nvCxnSpPr>
        <xdr:cNvPr id="18" name="Straight Connector 17">
          <a:extLst>
            <a:ext uri="{FF2B5EF4-FFF2-40B4-BE49-F238E27FC236}">
              <a16:creationId xmlns:a16="http://schemas.microsoft.com/office/drawing/2014/main" id="{FB37728C-8230-75CE-1070-0589D4C7417C}"/>
            </a:ext>
          </a:extLst>
        </xdr:cNvPr>
        <xdr:cNvCxnSpPr/>
      </xdr:nvCxnSpPr>
      <xdr:spPr>
        <a:xfrm flipV="1">
          <a:off x="13518695975" y="87699850"/>
          <a:ext cx="9525" cy="200342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539750</xdr:colOff>
      <xdr:row>431</xdr:row>
      <xdr:rowOff>88900</xdr:rowOff>
    </xdr:from>
    <xdr:to>
      <xdr:col>7</xdr:col>
      <xdr:colOff>638175</xdr:colOff>
      <xdr:row>431</xdr:row>
      <xdr:rowOff>88900</xdr:rowOff>
    </xdr:to>
    <xdr:cxnSp macro="">
      <xdr:nvCxnSpPr>
        <xdr:cNvPr id="21" name="Straight Connector 20">
          <a:extLst>
            <a:ext uri="{FF2B5EF4-FFF2-40B4-BE49-F238E27FC236}">
              <a16:creationId xmlns:a16="http://schemas.microsoft.com/office/drawing/2014/main" id="{B729A052-9E2A-4C9C-C566-06C79B3EF4E7}"/>
            </a:ext>
          </a:extLst>
        </xdr:cNvPr>
        <xdr:cNvCxnSpPr/>
      </xdr:nvCxnSpPr>
      <xdr:spPr>
        <a:xfrm>
          <a:off x="13518689625" y="89700100"/>
          <a:ext cx="2574925" cy="0"/>
        </a:xfrm>
        <a:prstGeom prst="line">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3175</xdr:colOff>
      <xdr:row>451</xdr:row>
      <xdr:rowOff>123825</xdr:rowOff>
    </xdr:from>
    <xdr:to>
      <xdr:col>5</xdr:col>
      <xdr:colOff>796925</xdr:colOff>
      <xdr:row>451</xdr:row>
      <xdr:rowOff>127000</xdr:rowOff>
    </xdr:to>
    <xdr:cxnSp macro="">
      <xdr:nvCxnSpPr>
        <xdr:cNvPr id="25" name="Straight Arrow Connector 24">
          <a:extLst>
            <a:ext uri="{FF2B5EF4-FFF2-40B4-BE49-F238E27FC236}">
              <a16:creationId xmlns:a16="http://schemas.microsoft.com/office/drawing/2014/main" id="{234FB629-4078-9402-9AD9-5101ACABA289}"/>
            </a:ext>
          </a:extLst>
        </xdr:cNvPr>
        <xdr:cNvCxnSpPr/>
      </xdr:nvCxnSpPr>
      <xdr:spPr>
        <a:xfrm flipH="1" flipV="1">
          <a:off x="13520181875" y="93811725"/>
          <a:ext cx="793750" cy="317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143867</xdr:colOff>
      <xdr:row>8</xdr:row>
      <xdr:rowOff>64493</xdr:rowOff>
    </xdr:from>
    <xdr:to>
      <xdr:col>5</xdr:col>
      <xdr:colOff>362149</xdr:colOff>
      <xdr:row>12</xdr:row>
      <xdr:rowOff>4961</xdr:rowOff>
    </xdr:to>
    <xdr:sp macro="" textlink="">
      <xdr:nvSpPr>
        <xdr:cNvPr id="2" name="Down Arrow 1">
          <a:extLst>
            <a:ext uri="{FF2B5EF4-FFF2-40B4-BE49-F238E27FC236}">
              <a16:creationId xmlns:a16="http://schemas.microsoft.com/office/drawing/2014/main" id="{137E1703-BFCA-9D84-1E7B-48D612E79C59}"/>
            </a:ext>
          </a:extLst>
        </xdr:cNvPr>
        <xdr:cNvSpPr/>
      </xdr:nvSpPr>
      <xdr:spPr>
        <a:xfrm>
          <a:off x="13488000273" y="67468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322461</xdr:colOff>
      <xdr:row>8</xdr:row>
      <xdr:rowOff>29766</xdr:rowOff>
    </xdr:from>
    <xdr:to>
      <xdr:col>2</xdr:col>
      <xdr:colOff>540743</xdr:colOff>
      <xdr:row>11</xdr:row>
      <xdr:rowOff>173632</xdr:rowOff>
    </xdr:to>
    <xdr:sp macro="" textlink="">
      <xdr:nvSpPr>
        <xdr:cNvPr id="3" name="Down Arrow 2">
          <a:extLst>
            <a:ext uri="{FF2B5EF4-FFF2-40B4-BE49-F238E27FC236}">
              <a16:creationId xmlns:a16="http://schemas.microsoft.com/office/drawing/2014/main" id="{CC0E637F-005D-B6F1-4884-1D3F521AADAD}"/>
            </a:ext>
          </a:extLst>
        </xdr:cNvPr>
        <xdr:cNvSpPr/>
      </xdr:nvSpPr>
      <xdr:spPr>
        <a:xfrm>
          <a:off x="13490292226" y="63996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302617</xdr:colOff>
      <xdr:row>14</xdr:row>
      <xdr:rowOff>24805</xdr:rowOff>
    </xdr:from>
    <xdr:to>
      <xdr:col>2</xdr:col>
      <xdr:colOff>520899</xdr:colOff>
      <xdr:row>17</xdr:row>
      <xdr:rowOff>168672</xdr:rowOff>
    </xdr:to>
    <xdr:sp macro="" textlink="">
      <xdr:nvSpPr>
        <xdr:cNvPr id="4" name="Down Arrow 3">
          <a:extLst>
            <a:ext uri="{FF2B5EF4-FFF2-40B4-BE49-F238E27FC236}">
              <a16:creationId xmlns:a16="http://schemas.microsoft.com/office/drawing/2014/main" id="{66B7B446-F1FC-8EF3-E9AE-D171ACAA5C8F}"/>
            </a:ext>
          </a:extLst>
        </xdr:cNvPr>
        <xdr:cNvSpPr/>
      </xdr:nvSpPr>
      <xdr:spPr>
        <a:xfrm>
          <a:off x="13490312070" y="165199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128984</xdr:colOff>
      <xdr:row>14</xdr:row>
      <xdr:rowOff>9922</xdr:rowOff>
    </xdr:from>
    <xdr:to>
      <xdr:col>5</xdr:col>
      <xdr:colOff>347266</xdr:colOff>
      <xdr:row>17</xdr:row>
      <xdr:rowOff>153789</xdr:rowOff>
    </xdr:to>
    <xdr:sp macro="" textlink="">
      <xdr:nvSpPr>
        <xdr:cNvPr id="5" name="Down Arrow 4">
          <a:extLst>
            <a:ext uri="{FF2B5EF4-FFF2-40B4-BE49-F238E27FC236}">
              <a16:creationId xmlns:a16="http://schemas.microsoft.com/office/drawing/2014/main" id="{6D47EA89-446E-F81B-0C8C-7A02123355DB}"/>
            </a:ext>
          </a:extLst>
        </xdr:cNvPr>
        <xdr:cNvSpPr/>
      </xdr:nvSpPr>
      <xdr:spPr>
        <a:xfrm>
          <a:off x="13488015156" y="16371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153789</xdr:colOff>
      <xdr:row>26</xdr:row>
      <xdr:rowOff>49609</xdr:rowOff>
    </xdr:from>
    <xdr:to>
      <xdr:col>0</xdr:col>
      <xdr:colOff>372071</xdr:colOff>
      <xdr:row>29</xdr:row>
      <xdr:rowOff>193476</xdr:rowOff>
    </xdr:to>
    <xdr:sp macro="" textlink="">
      <xdr:nvSpPr>
        <xdr:cNvPr id="6" name="Down Arrow 5">
          <a:extLst>
            <a:ext uri="{FF2B5EF4-FFF2-40B4-BE49-F238E27FC236}">
              <a16:creationId xmlns:a16="http://schemas.microsoft.com/office/drawing/2014/main" id="{A45BBE34-4ED5-7D7A-06F0-AF30B3D24F00}"/>
            </a:ext>
          </a:extLst>
        </xdr:cNvPr>
        <xdr:cNvSpPr/>
      </xdr:nvSpPr>
      <xdr:spPr>
        <a:xfrm>
          <a:off x="13492107929" y="4117578"/>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297656</xdr:colOff>
      <xdr:row>26</xdr:row>
      <xdr:rowOff>24805</xdr:rowOff>
    </xdr:from>
    <xdr:to>
      <xdr:col>1</xdr:col>
      <xdr:colOff>515938</xdr:colOff>
      <xdr:row>29</xdr:row>
      <xdr:rowOff>168672</xdr:rowOff>
    </xdr:to>
    <xdr:sp macro="" textlink="">
      <xdr:nvSpPr>
        <xdr:cNvPr id="7" name="Down Arrow 6">
          <a:extLst>
            <a:ext uri="{FF2B5EF4-FFF2-40B4-BE49-F238E27FC236}">
              <a16:creationId xmlns:a16="http://schemas.microsoft.com/office/drawing/2014/main" id="{D3BA7DFE-AFE9-AB7F-AA84-6B4E84931120}"/>
            </a:ext>
          </a:extLst>
        </xdr:cNvPr>
        <xdr:cNvSpPr/>
      </xdr:nvSpPr>
      <xdr:spPr>
        <a:xfrm>
          <a:off x="13491140546"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297656</xdr:colOff>
      <xdr:row>26</xdr:row>
      <xdr:rowOff>24805</xdr:rowOff>
    </xdr:from>
    <xdr:to>
      <xdr:col>2</xdr:col>
      <xdr:colOff>515938</xdr:colOff>
      <xdr:row>29</xdr:row>
      <xdr:rowOff>168672</xdr:rowOff>
    </xdr:to>
    <xdr:sp macro="" textlink="">
      <xdr:nvSpPr>
        <xdr:cNvPr id="8" name="Down Arrow 7">
          <a:extLst>
            <a:ext uri="{FF2B5EF4-FFF2-40B4-BE49-F238E27FC236}">
              <a16:creationId xmlns:a16="http://schemas.microsoft.com/office/drawing/2014/main" id="{F17EC633-B364-F0CC-885D-B277EA572EB7}"/>
            </a:ext>
          </a:extLst>
        </xdr:cNvPr>
        <xdr:cNvSpPr/>
      </xdr:nvSpPr>
      <xdr:spPr>
        <a:xfrm>
          <a:off x="13490317031" y="409277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228203</xdr:colOff>
      <xdr:row>26</xdr:row>
      <xdr:rowOff>14883</xdr:rowOff>
    </xdr:from>
    <xdr:to>
      <xdr:col>3</xdr:col>
      <xdr:colOff>446485</xdr:colOff>
      <xdr:row>29</xdr:row>
      <xdr:rowOff>158750</xdr:rowOff>
    </xdr:to>
    <xdr:sp macro="" textlink="">
      <xdr:nvSpPr>
        <xdr:cNvPr id="9" name="Down Arrow 8">
          <a:extLst>
            <a:ext uri="{FF2B5EF4-FFF2-40B4-BE49-F238E27FC236}">
              <a16:creationId xmlns:a16="http://schemas.microsoft.com/office/drawing/2014/main" id="{1B1F261C-316B-8280-580C-42962508F4A7}"/>
            </a:ext>
          </a:extLst>
        </xdr:cNvPr>
        <xdr:cNvSpPr/>
      </xdr:nvSpPr>
      <xdr:spPr>
        <a:xfrm>
          <a:off x="13489562968" y="408285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218281</xdr:colOff>
      <xdr:row>26</xdr:row>
      <xdr:rowOff>0</xdr:rowOff>
    </xdr:from>
    <xdr:to>
      <xdr:col>4</xdr:col>
      <xdr:colOff>436563</xdr:colOff>
      <xdr:row>29</xdr:row>
      <xdr:rowOff>143867</xdr:rowOff>
    </xdr:to>
    <xdr:sp macro="" textlink="">
      <xdr:nvSpPr>
        <xdr:cNvPr id="10" name="Down Arrow 9">
          <a:extLst>
            <a:ext uri="{FF2B5EF4-FFF2-40B4-BE49-F238E27FC236}">
              <a16:creationId xmlns:a16="http://schemas.microsoft.com/office/drawing/2014/main" id="{C237B752-CF1C-322E-2676-A81F75A702BF}"/>
            </a:ext>
          </a:extLst>
        </xdr:cNvPr>
        <xdr:cNvSpPr/>
      </xdr:nvSpPr>
      <xdr:spPr>
        <a:xfrm>
          <a:off x="13488749374" y="4067969"/>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257969</xdr:colOff>
      <xdr:row>26</xdr:row>
      <xdr:rowOff>4961</xdr:rowOff>
    </xdr:from>
    <xdr:to>
      <xdr:col>5</xdr:col>
      <xdr:colOff>476251</xdr:colOff>
      <xdr:row>29</xdr:row>
      <xdr:rowOff>148828</xdr:rowOff>
    </xdr:to>
    <xdr:sp macro="" textlink="">
      <xdr:nvSpPr>
        <xdr:cNvPr id="11" name="Down Arrow 10">
          <a:extLst>
            <a:ext uri="{FF2B5EF4-FFF2-40B4-BE49-F238E27FC236}">
              <a16:creationId xmlns:a16="http://schemas.microsoft.com/office/drawing/2014/main" id="{16C7A64E-2C19-7F4F-F245-9921E7CD16C1}"/>
            </a:ext>
          </a:extLst>
        </xdr:cNvPr>
        <xdr:cNvSpPr/>
      </xdr:nvSpPr>
      <xdr:spPr>
        <a:xfrm>
          <a:off x="13487886171" y="407293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372070</xdr:colOff>
      <xdr:row>25</xdr:row>
      <xdr:rowOff>193477</xdr:rowOff>
    </xdr:from>
    <xdr:to>
      <xdr:col>6</xdr:col>
      <xdr:colOff>590352</xdr:colOff>
      <xdr:row>29</xdr:row>
      <xdr:rowOff>133945</xdr:rowOff>
    </xdr:to>
    <xdr:sp macro="" textlink="">
      <xdr:nvSpPr>
        <xdr:cNvPr id="12" name="Down Arrow 11">
          <a:extLst>
            <a:ext uri="{FF2B5EF4-FFF2-40B4-BE49-F238E27FC236}">
              <a16:creationId xmlns:a16="http://schemas.microsoft.com/office/drawing/2014/main" id="{443AE6A8-5210-F724-CA19-5AD73E2E18D3}"/>
            </a:ext>
          </a:extLst>
        </xdr:cNvPr>
        <xdr:cNvSpPr/>
      </xdr:nvSpPr>
      <xdr:spPr>
        <a:xfrm>
          <a:off x="13486948554"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357188</xdr:colOff>
      <xdr:row>25</xdr:row>
      <xdr:rowOff>193477</xdr:rowOff>
    </xdr:from>
    <xdr:to>
      <xdr:col>7</xdr:col>
      <xdr:colOff>575470</xdr:colOff>
      <xdr:row>29</xdr:row>
      <xdr:rowOff>133945</xdr:rowOff>
    </xdr:to>
    <xdr:sp macro="" textlink="">
      <xdr:nvSpPr>
        <xdr:cNvPr id="13" name="Down Arrow 12">
          <a:extLst>
            <a:ext uri="{FF2B5EF4-FFF2-40B4-BE49-F238E27FC236}">
              <a16:creationId xmlns:a16="http://schemas.microsoft.com/office/drawing/2014/main" id="{AA58EFEA-735B-2AC7-4502-2EB557FBF463}"/>
            </a:ext>
          </a:extLst>
        </xdr:cNvPr>
        <xdr:cNvSpPr/>
      </xdr:nvSpPr>
      <xdr:spPr>
        <a:xfrm>
          <a:off x="13486139921" y="405804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253008</xdr:colOff>
      <xdr:row>52</xdr:row>
      <xdr:rowOff>4960</xdr:rowOff>
    </xdr:from>
    <xdr:to>
      <xdr:col>1</xdr:col>
      <xdr:colOff>471290</xdr:colOff>
      <xdr:row>55</xdr:row>
      <xdr:rowOff>148827</xdr:rowOff>
    </xdr:to>
    <xdr:sp macro="" textlink="">
      <xdr:nvSpPr>
        <xdr:cNvPr id="14" name="Down Arrow 13">
          <a:extLst>
            <a:ext uri="{FF2B5EF4-FFF2-40B4-BE49-F238E27FC236}">
              <a16:creationId xmlns:a16="http://schemas.microsoft.com/office/drawing/2014/main" id="{59870435-CA28-384F-B149-43140D5C55A6}"/>
            </a:ext>
          </a:extLst>
        </xdr:cNvPr>
        <xdr:cNvSpPr/>
      </xdr:nvSpPr>
      <xdr:spPr>
        <a:xfrm>
          <a:off x="13491338983" y="8374062"/>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287735</xdr:colOff>
      <xdr:row>51</xdr:row>
      <xdr:rowOff>203398</xdr:rowOff>
    </xdr:from>
    <xdr:to>
      <xdr:col>2</xdr:col>
      <xdr:colOff>506017</xdr:colOff>
      <xdr:row>55</xdr:row>
      <xdr:rowOff>143866</xdr:rowOff>
    </xdr:to>
    <xdr:sp macro="" textlink="">
      <xdr:nvSpPr>
        <xdr:cNvPr id="15" name="Down Arrow 14">
          <a:extLst>
            <a:ext uri="{FF2B5EF4-FFF2-40B4-BE49-F238E27FC236}">
              <a16:creationId xmlns:a16="http://schemas.microsoft.com/office/drawing/2014/main" id="{0AAA2D48-4406-5B48-F359-31961134E0DD}"/>
            </a:ext>
          </a:extLst>
        </xdr:cNvPr>
        <xdr:cNvSpPr/>
      </xdr:nvSpPr>
      <xdr:spPr>
        <a:xfrm>
          <a:off x="13490480741" y="836910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267891</xdr:colOff>
      <xdr:row>52</xdr:row>
      <xdr:rowOff>9921</xdr:rowOff>
    </xdr:from>
    <xdr:to>
      <xdr:col>3</xdr:col>
      <xdr:colOff>486173</xdr:colOff>
      <xdr:row>55</xdr:row>
      <xdr:rowOff>153788</xdr:rowOff>
    </xdr:to>
    <xdr:sp macro="" textlink="">
      <xdr:nvSpPr>
        <xdr:cNvPr id="16" name="Down Arrow 15">
          <a:extLst>
            <a:ext uri="{FF2B5EF4-FFF2-40B4-BE49-F238E27FC236}">
              <a16:creationId xmlns:a16="http://schemas.microsoft.com/office/drawing/2014/main" id="{D6FC12AF-4C0E-C3F8-5B45-E43BCABD44FE}"/>
            </a:ext>
          </a:extLst>
        </xdr:cNvPr>
        <xdr:cNvSpPr/>
      </xdr:nvSpPr>
      <xdr:spPr>
        <a:xfrm>
          <a:off x="13489677069"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257969</xdr:colOff>
      <xdr:row>52</xdr:row>
      <xdr:rowOff>14882</xdr:rowOff>
    </xdr:from>
    <xdr:to>
      <xdr:col>4</xdr:col>
      <xdr:colOff>476251</xdr:colOff>
      <xdr:row>55</xdr:row>
      <xdr:rowOff>158749</xdr:rowOff>
    </xdr:to>
    <xdr:sp macro="" textlink="">
      <xdr:nvSpPr>
        <xdr:cNvPr id="17" name="Down Arrow 16">
          <a:extLst>
            <a:ext uri="{FF2B5EF4-FFF2-40B4-BE49-F238E27FC236}">
              <a16:creationId xmlns:a16="http://schemas.microsoft.com/office/drawing/2014/main" id="{A290FCE1-AE02-7E5A-AE35-7660F8B80946}"/>
            </a:ext>
          </a:extLst>
        </xdr:cNvPr>
        <xdr:cNvSpPr/>
      </xdr:nvSpPr>
      <xdr:spPr>
        <a:xfrm>
          <a:off x="13488863475" y="838398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282775</xdr:colOff>
      <xdr:row>52</xdr:row>
      <xdr:rowOff>9921</xdr:rowOff>
    </xdr:from>
    <xdr:to>
      <xdr:col>5</xdr:col>
      <xdr:colOff>501057</xdr:colOff>
      <xdr:row>55</xdr:row>
      <xdr:rowOff>153788</xdr:rowOff>
    </xdr:to>
    <xdr:sp macro="" textlink="">
      <xdr:nvSpPr>
        <xdr:cNvPr id="18" name="Down Arrow 17">
          <a:extLst>
            <a:ext uri="{FF2B5EF4-FFF2-40B4-BE49-F238E27FC236}">
              <a16:creationId xmlns:a16="http://schemas.microsoft.com/office/drawing/2014/main" id="{C60652CA-C156-82C5-09D1-FC4385C1A861}"/>
            </a:ext>
          </a:extLst>
        </xdr:cNvPr>
        <xdr:cNvSpPr/>
      </xdr:nvSpPr>
      <xdr:spPr>
        <a:xfrm>
          <a:off x="13488015154" y="8379023"/>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277812</xdr:colOff>
      <xdr:row>159</xdr:row>
      <xdr:rowOff>203398</xdr:rowOff>
    </xdr:from>
    <xdr:to>
      <xdr:col>2</xdr:col>
      <xdr:colOff>496094</xdr:colOff>
      <xdr:row>163</xdr:row>
      <xdr:rowOff>143866</xdr:rowOff>
    </xdr:to>
    <xdr:sp macro="" textlink="">
      <xdr:nvSpPr>
        <xdr:cNvPr id="19" name="Down Arrow 18">
          <a:extLst>
            <a:ext uri="{FF2B5EF4-FFF2-40B4-BE49-F238E27FC236}">
              <a16:creationId xmlns:a16="http://schemas.microsoft.com/office/drawing/2014/main" id="{910D1798-B813-F146-9D9A-5271FEF9299F}"/>
            </a:ext>
          </a:extLst>
        </xdr:cNvPr>
        <xdr:cNvSpPr/>
      </xdr:nvSpPr>
      <xdr:spPr>
        <a:xfrm>
          <a:off x="13490490664" y="26010195"/>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664766</xdr:colOff>
      <xdr:row>164</xdr:row>
      <xdr:rowOff>19842</xdr:rowOff>
    </xdr:from>
    <xdr:to>
      <xdr:col>3</xdr:col>
      <xdr:colOff>595312</xdr:colOff>
      <xdr:row>165</xdr:row>
      <xdr:rowOff>34725</xdr:rowOff>
    </xdr:to>
    <xdr:sp macro="" textlink="">
      <xdr:nvSpPr>
        <xdr:cNvPr id="20" name="Down Arrow 19">
          <a:extLst>
            <a:ext uri="{FF2B5EF4-FFF2-40B4-BE49-F238E27FC236}">
              <a16:creationId xmlns:a16="http://schemas.microsoft.com/office/drawing/2014/main" id="{807F3E8D-C218-7990-CFDF-E35994596E77}"/>
            </a:ext>
          </a:extLst>
        </xdr:cNvPr>
        <xdr:cNvSpPr/>
      </xdr:nvSpPr>
      <xdr:spPr>
        <a:xfrm rot="5400000">
          <a:off x="13489835820" y="26575741"/>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59532</xdr:colOff>
      <xdr:row>163</xdr:row>
      <xdr:rowOff>193475</xdr:rowOff>
    </xdr:from>
    <xdr:to>
      <xdr:col>5</xdr:col>
      <xdr:colOff>813594</xdr:colOff>
      <xdr:row>165</xdr:row>
      <xdr:rowOff>4960</xdr:rowOff>
    </xdr:to>
    <xdr:sp macro="" textlink="">
      <xdr:nvSpPr>
        <xdr:cNvPr id="21" name="Down Arrow 20">
          <a:extLst>
            <a:ext uri="{FF2B5EF4-FFF2-40B4-BE49-F238E27FC236}">
              <a16:creationId xmlns:a16="http://schemas.microsoft.com/office/drawing/2014/main" id="{EB7A4FC8-0E5E-C118-702A-739B56C657B7}"/>
            </a:ext>
          </a:extLst>
        </xdr:cNvPr>
        <xdr:cNvSpPr/>
      </xdr:nvSpPr>
      <xdr:spPr>
        <a:xfrm rot="5400000">
          <a:off x="13487970507" y="26545976"/>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262929</xdr:colOff>
      <xdr:row>167</xdr:row>
      <xdr:rowOff>34726</xdr:rowOff>
    </xdr:from>
    <xdr:to>
      <xdr:col>6</xdr:col>
      <xdr:colOff>481211</xdr:colOff>
      <xdr:row>170</xdr:row>
      <xdr:rowOff>178592</xdr:rowOff>
    </xdr:to>
    <xdr:sp macro="" textlink="">
      <xdr:nvSpPr>
        <xdr:cNvPr id="22" name="Down Arrow 21">
          <a:extLst>
            <a:ext uri="{FF2B5EF4-FFF2-40B4-BE49-F238E27FC236}">
              <a16:creationId xmlns:a16="http://schemas.microsoft.com/office/drawing/2014/main" id="{9AA82197-C683-8CD3-2A8E-EEBFA862A0AF}"/>
            </a:ext>
          </a:extLst>
        </xdr:cNvPr>
        <xdr:cNvSpPr/>
      </xdr:nvSpPr>
      <xdr:spPr>
        <a:xfrm>
          <a:off x="13487211484" y="2746871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367108</xdr:colOff>
      <xdr:row>175</xdr:row>
      <xdr:rowOff>44648</xdr:rowOff>
    </xdr:from>
    <xdr:to>
      <xdr:col>1</xdr:col>
      <xdr:colOff>585390</xdr:colOff>
      <xdr:row>178</xdr:row>
      <xdr:rowOff>188515</xdr:rowOff>
    </xdr:to>
    <xdr:sp macro="" textlink="">
      <xdr:nvSpPr>
        <xdr:cNvPr id="23" name="Down Arrow 22">
          <a:extLst>
            <a:ext uri="{FF2B5EF4-FFF2-40B4-BE49-F238E27FC236}">
              <a16:creationId xmlns:a16="http://schemas.microsoft.com/office/drawing/2014/main" id="{562A3B92-CBF7-2691-6351-23184E84794F}"/>
            </a:ext>
          </a:extLst>
        </xdr:cNvPr>
        <xdr:cNvSpPr/>
      </xdr:nvSpPr>
      <xdr:spPr>
        <a:xfrm>
          <a:off x="13491224883" y="291058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148826</xdr:colOff>
      <xdr:row>175</xdr:row>
      <xdr:rowOff>29765</xdr:rowOff>
    </xdr:from>
    <xdr:to>
      <xdr:col>4</xdr:col>
      <xdr:colOff>367108</xdr:colOff>
      <xdr:row>178</xdr:row>
      <xdr:rowOff>173632</xdr:rowOff>
    </xdr:to>
    <xdr:sp macro="" textlink="">
      <xdr:nvSpPr>
        <xdr:cNvPr id="24" name="Down Arrow 23">
          <a:extLst>
            <a:ext uri="{FF2B5EF4-FFF2-40B4-BE49-F238E27FC236}">
              <a16:creationId xmlns:a16="http://schemas.microsoft.com/office/drawing/2014/main" id="{0FCB7DCF-0892-B1AC-BA15-EDCB8EB800B2}"/>
            </a:ext>
          </a:extLst>
        </xdr:cNvPr>
        <xdr:cNvSpPr/>
      </xdr:nvSpPr>
      <xdr:spPr>
        <a:xfrm>
          <a:off x="13488972618" y="290909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327421</xdr:colOff>
      <xdr:row>186</xdr:row>
      <xdr:rowOff>29765</xdr:rowOff>
    </xdr:from>
    <xdr:to>
      <xdr:col>1</xdr:col>
      <xdr:colOff>545703</xdr:colOff>
      <xdr:row>189</xdr:row>
      <xdr:rowOff>173632</xdr:rowOff>
    </xdr:to>
    <xdr:sp macro="" textlink="">
      <xdr:nvSpPr>
        <xdr:cNvPr id="25" name="Down Arrow 24">
          <a:extLst>
            <a:ext uri="{FF2B5EF4-FFF2-40B4-BE49-F238E27FC236}">
              <a16:creationId xmlns:a16="http://schemas.microsoft.com/office/drawing/2014/main" id="{6C8EDE83-725C-063F-007C-DFECD3354578}"/>
            </a:ext>
          </a:extLst>
        </xdr:cNvPr>
        <xdr:cNvSpPr/>
      </xdr:nvSpPr>
      <xdr:spPr>
        <a:xfrm>
          <a:off x="13491264570" y="31328320"/>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481210</xdr:colOff>
      <xdr:row>186</xdr:row>
      <xdr:rowOff>14882</xdr:rowOff>
    </xdr:from>
    <xdr:to>
      <xdr:col>3</xdr:col>
      <xdr:colOff>699492</xdr:colOff>
      <xdr:row>189</xdr:row>
      <xdr:rowOff>158749</xdr:rowOff>
    </xdr:to>
    <xdr:sp macro="" textlink="">
      <xdr:nvSpPr>
        <xdr:cNvPr id="26" name="Down Arrow 25">
          <a:extLst>
            <a:ext uri="{FF2B5EF4-FFF2-40B4-BE49-F238E27FC236}">
              <a16:creationId xmlns:a16="http://schemas.microsoft.com/office/drawing/2014/main" id="{CE06C578-B1F9-25FF-DF16-800B544ED5BF}"/>
            </a:ext>
          </a:extLst>
        </xdr:cNvPr>
        <xdr:cNvSpPr/>
      </xdr:nvSpPr>
      <xdr:spPr>
        <a:xfrm>
          <a:off x="13489463750" y="31313437"/>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545702</xdr:colOff>
      <xdr:row>185</xdr:row>
      <xdr:rowOff>203398</xdr:rowOff>
    </xdr:from>
    <xdr:to>
      <xdr:col>5</xdr:col>
      <xdr:colOff>763984</xdr:colOff>
      <xdr:row>189</xdr:row>
      <xdr:rowOff>143866</xdr:rowOff>
    </xdr:to>
    <xdr:sp macro="" textlink="">
      <xdr:nvSpPr>
        <xdr:cNvPr id="27" name="Down Arrow 26">
          <a:extLst>
            <a:ext uri="{FF2B5EF4-FFF2-40B4-BE49-F238E27FC236}">
              <a16:creationId xmlns:a16="http://schemas.microsoft.com/office/drawing/2014/main" id="{BE8A9CC6-851E-74A0-828A-D53D5A4C3990}"/>
            </a:ext>
          </a:extLst>
        </xdr:cNvPr>
        <xdr:cNvSpPr/>
      </xdr:nvSpPr>
      <xdr:spPr>
        <a:xfrm>
          <a:off x="13487752227" y="31298554"/>
          <a:ext cx="218282" cy="7540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760075</xdr:colOff>
      <xdr:row>221</xdr:row>
      <xdr:rowOff>38484</xdr:rowOff>
    </xdr:from>
    <xdr:to>
      <xdr:col>4</xdr:col>
      <xdr:colOff>83383</xdr:colOff>
      <xdr:row>221</xdr:row>
      <xdr:rowOff>118661</xdr:rowOff>
    </xdr:to>
    <xdr:sp macro="" textlink="">
      <xdr:nvSpPr>
        <xdr:cNvPr id="28" name="Right Arrow 27">
          <a:extLst>
            <a:ext uri="{FF2B5EF4-FFF2-40B4-BE49-F238E27FC236}">
              <a16:creationId xmlns:a16="http://schemas.microsoft.com/office/drawing/2014/main" id="{E0539CA4-8021-92C9-A3EC-78991319EABF}"/>
            </a:ext>
          </a:extLst>
        </xdr:cNvPr>
        <xdr:cNvSpPr/>
      </xdr:nvSpPr>
      <xdr:spPr>
        <a:xfrm>
          <a:off x="13500811970" y="44921439"/>
          <a:ext cx="147525" cy="80177"/>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439616</xdr:colOff>
      <xdr:row>361</xdr:row>
      <xdr:rowOff>6979</xdr:rowOff>
    </xdr:from>
    <xdr:to>
      <xdr:col>4</xdr:col>
      <xdr:colOff>593133</xdr:colOff>
      <xdr:row>363</xdr:row>
      <xdr:rowOff>31403</xdr:rowOff>
    </xdr:to>
    <xdr:sp macro="" textlink="">
      <xdr:nvSpPr>
        <xdr:cNvPr id="29" name="Left Brace 28">
          <a:extLst>
            <a:ext uri="{FF2B5EF4-FFF2-40B4-BE49-F238E27FC236}">
              <a16:creationId xmlns:a16="http://schemas.microsoft.com/office/drawing/2014/main" id="{980CA882-3255-F0FD-6C3F-A821382BB428}"/>
            </a:ext>
          </a:extLst>
        </xdr:cNvPr>
        <xdr:cNvSpPr/>
      </xdr:nvSpPr>
      <xdr:spPr>
        <a:xfrm>
          <a:off x="13544169697" y="73394836"/>
          <a:ext cx="153517" cy="42914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587136</xdr:colOff>
      <xdr:row>446</xdr:row>
      <xdr:rowOff>194648</xdr:rowOff>
    </xdr:from>
    <xdr:to>
      <xdr:col>3</xdr:col>
      <xdr:colOff>794548</xdr:colOff>
      <xdr:row>449</xdr:row>
      <xdr:rowOff>57437</xdr:rowOff>
    </xdr:to>
    <xdr:cxnSp macro="">
      <xdr:nvCxnSpPr>
        <xdr:cNvPr id="31" name="Straight Arrow Connector 30">
          <a:extLst>
            <a:ext uri="{FF2B5EF4-FFF2-40B4-BE49-F238E27FC236}">
              <a16:creationId xmlns:a16="http://schemas.microsoft.com/office/drawing/2014/main" id="{0ADE4FF9-E5E5-A737-379F-CFB146A90C4E}"/>
            </a:ext>
          </a:extLst>
        </xdr:cNvPr>
        <xdr:cNvCxnSpPr/>
      </xdr:nvCxnSpPr>
      <xdr:spPr>
        <a:xfrm flipH="1">
          <a:off x="13537616055" y="91583593"/>
          <a:ext cx="207412" cy="4754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759447</xdr:colOff>
      <xdr:row>447</xdr:row>
      <xdr:rowOff>9572</xdr:rowOff>
    </xdr:from>
    <xdr:to>
      <xdr:col>4</xdr:col>
      <xdr:colOff>229749</xdr:colOff>
      <xdr:row>449</xdr:row>
      <xdr:rowOff>51055</xdr:rowOff>
    </xdr:to>
    <xdr:cxnSp macro="">
      <xdr:nvCxnSpPr>
        <xdr:cNvPr id="32" name="Straight Arrow Connector 31">
          <a:extLst>
            <a:ext uri="{FF2B5EF4-FFF2-40B4-BE49-F238E27FC236}">
              <a16:creationId xmlns:a16="http://schemas.microsoft.com/office/drawing/2014/main" id="{B87FF2AD-520C-1906-6E97-F941DFCB151E}"/>
            </a:ext>
          </a:extLst>
        </xdr:cNvPr>
        <xdr:cNvCxnSpPr/>
      </xdr:nvCxnSpPr>
      <xdr:spPr>
        <a:xfrm>
          <a:off x="13537354397" y="91602738"/>
          <a:ext cx="296759" cy="449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867940</xdr:colOff>
      <xdr:row>509</xdr:row>
      <xdr:rowOff>3191</xdr:rowOff>
    </xdr:from>
    <xdr:to>
      <xdr:col>5</xdr:col>
      <xdr:colOff>98919</xdr:colOff>
      <xdr:row>513</xdr:row>
      <xdr:rowOff>194648</xdr:rowOff>
    </xdr:to>
    <xdr:sp macro="" textlink="">
      <xdr:nvSpPr>
        <xdr:cNvPr id="34" name="Left Brace 33">
          <a:extLst>
            <a:ext uri="{FF2B5EF4-FFF2-40B4-BE49-F238E27FC236}">
              <a16:creationId xmlns:a16="http://schemas.microsoft.com/office/drawing/2014/main" id="{8DCCCB2D-FC2E-69CA-15EB-E05B33E96D14}"/>
            </a:ext>
          </a:extLst>
        </xdr:cNvPr>
        <xdr:cNvSpPr/>
      </xdr:nvSpPr>
      <xdr:spPr>
        <a:xfrm>
          <a:off x="13536594950" y="100990528"/>
          <a:ext cx="121256" cy="10083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385599</xdr:colOff>
      <xdr:row>481</xdr:row>
      <xdr:rowOff>180418</xdr:rowOff>
    </xdr:from>
    <xdr:to>
      <xdr:col>6</xdr:col>
      <xdr:colOff>481114</xdr:colOff>
      <xdr:row>483</xdr:row>
      <xdr:rowOff>113204</xdr:rowOff>
    </xdr:to>
    <xdr:sp macro="" textlink="">
      <xdr:nvSpPr>
        <xdr:cNvPr id="35" name="Down Arrow 34">
          <a:extLst>
            <a:ext uri="{FF2B5EF4-FFF2-40B4-BE49-F238E27FC236}">
              <a16:creationId xmlns:a16="http://schemas.microsoft.com/office/drawing/2014/main" id="{E7F59A23-11BF-89C5-FF0C-93E028A2DA49}"/>
            </a:ext>
          </a:extLst>
        </xdr:cNvPr>
        <xdr:cNvSpPr/>
      </xdr:nvSpPr>
      <xdr:spPr>
        <a:xfrm>
          <a:off x="13499431393" y="97510529"/>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134429</xdr:colOff>
      <xdr:row>482</xdr:row>
      <xdr:rowOff>24762</xdr:rowOff>
    </xdr:from>
    <xdr:to>
      <xdr:col>5</xdr:col>
      <xdr:colOff>229944</xdr:colOff>
      <xdr:row>483</xdr:row>
      <xdr:rowOff>159192</xdr:rowOff>
    </xdr:to>
    <xdr:sp macro="" textlink="">
      <xdr:nvSpPr>
        <xdr:cNvPr id="36" name="Down Arrow 35">
          <a:extLst>
            <a:ext uri="{FF2B5EF4-FFF2-40B4-BE49-F238E27FC236}">
              <a16:creationId xmlns:a16="http://schemas.microsoft.com/office/drawing/2014/main" id="{3DD17590-0712-C132-8B83-48794EEAAC41}"/>
            </a:ext>
          </a:extLst>
        </xdr:cNvPr>
        <xdr:cNvSpPr/>
      </xdr:nvSpPr>
      <xdr:spPr>
        <a:xfrm>
          <a:off x="13500506825" y="97556517"/>
          <a:ext cx="95515" cy="3360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487281</xdr:colOff>
      <xdr:row>192</xdr:row>
      <xdr:rowOff>11511</xdr:rowOff>
    </xdr:from>
    <xdr:to>
      <xdr:col>4</xdr:col>
      <xdr:colOff>587039</xdr:colOff>
      <xdr:row>194</xdr:row>
      <xdr:rowOff>138128</xdr:rowOff>
    </xdr:to>
    <xdr:sp macro="" textlink="">
      <xdr:nvSpPr>
        <xdr:cNvPr id="2" name="Rectangle 1">
          <a:extLst>
            <a:ext uri="{FF2B5EF4-FFF2-40B4-BE49-F238E27FC236}">
              <a16:creationId xmlns:a16="http://schemas.microsoft.com/office/drawing/2014/main" id="{0BBA916C-B8D4-F2A9-95FE-2FE09D5575CD}"/>
            </a:ext>
          </a:extLst>
        </xdr:cNvPr>
        <xdr:cNvSpPr/>
      </xdr:nvSpPr>
      <xdr:spPr>
        <a:xfrm>
          <a:off x="13511675801" y="37497614"/>
          <a:ext cx="1749607" cy="53332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300,000</a:t>
          </a:r>
        </a:p>
        <a:p>
          <a:pPr algn="ctr" rtl="1"/>
          <a:r>
            <a:rPr lang="he-IL" sz="1100"/>
            <a:t>הפרש זמני חייב במס</a:t>
          </a:r>
          <a:endParaRPr lang="en-US" sz="1100"/>
        </a:p>
      </xdr:txBody>
    </xdr:sp>
    <xdr:clientData/>
  </xdr:twoCellAnchor>
  <xdr:twoCellAnchor>
    <xdr:from>
      <xdr:col>2</xdr:col>
      <xdr:colOff>314623</xdr:colOff>
      <xdr:row>194</xdr:row>
      <xdr:rowOff>145800</xdr:rowOff>
    </xdr:from>
    <xdr:to>
      <xdr:col>3</xdr:col>
      <xdr:colOff>72901</xdr:colOff>
      <xdr:row>197</xdr:row>
      <xdr:rowOff>65227</xdr:rowOff>
    </xdr:to>
    <xdr:cxnSp macro="">
      <xdr:nvCxnSpPr>
        <xdr:cNvPr id="4" name="Straight Arrow Connector 3">
          <a:extLst>
            <a:ext uri="{FF2B5EF4-FFF2-40B4-BE49-F238E27FC236}">
              <a16:creationId xmlns:a16="http://schemas.microsoft.com/office/drawing/2014/main" id="{62E6617E-B229-0DE7-323F-7C8A42FF6211}"/>
            </a:ext>
          </a:extLst>
        </xdr:cNvPr>
        <xdr:cNvCxnSpPr/>
      </xdr:nvCxnSpPr>
      <xdr:spPr>
        <a:xfrm>
          <a:off x="13513014864" y="38038610"/>
          <a:ext cx="583202" cy="5294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537160</xdr:colOff>
      <xdr:row>194</xdr:row>
      <xdr:rowOff>138128</xdr:rowOff>
    </xdr:from>
    <xdr:to>
      <xdr:col>4</xdr:col>
      <xdr:colOff>207190</xdr:colOff>
      <xdr:row>197</xdr:row>
      <xdr:rowOff>38369</xdr:rowOff>
    </xdr:to>
    <xdr:cxnSp macro="">
      <xdr:nvCxnSpPr>
        <xdr:cNvPr id="5" name="Straight Arrow Connector 4">
          <a:extLst>
            <a:ext uri="{FF2B5EF4-FFF2-40B4-BE49-F238E27FC236}">
              <a16:creationId xmlns:a16="http://schemas.microsoft.com/office/drawing/2014/main" id="{90996AC9-505B-449D-D9FB-408441975C75}"/>
            </a:ext>
          </a:extLst>
        </xdr:cNvPr>
        <xdr:cNvCxnSpPr>
          <a:stCxn id="2" idx="2"/>
        </xdr:cNvCxnSpPr>
      </xdr:nvCxnSpPr>
      <xdr:spPr>
        <a:xfrm flipH="1">
          <a:off x="13512055650" y="38030938"/>
          <a:ext cx="494955" cy="5103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725164</xdr:colOff>
      <xdr:row>201</xdr:row>
      <xdr:rowOff>11510</xdr:rowOff>
    </xdr:from>
    <xdr:to>
      <xdr:col>5</xdr:col>
      <xdr:colOff>552508</xdr:colOff>
      <xdr:row>202</xdr:row>
      <xdr:rowOff>46043</xdr:rowOff>
    </xdr:to>
    <xdr:sp macro="" textlink="">
      <xdr:nvSpPr>
        <xdr:cNvPr id="8" name="Left Brace 7">
          <a:extLst>
            <a:ext uri="{FF2B5EF4-FFF2-40B4-BE49-F238E27FC236}">
              <a16:creationId xmlns:a16="http://schemas.microsoft.com/office/drawing/2014/main" id="{91899BBF-1DCF-7E90-9BB6-CFF5E68BF514}"/>
            </a:ext>
          </a:extLst>
        </xdr:cNvPr>
        <xdr:cNvSpPr/>
      </xdr:nvSpPr>
      <xdr:spPr>
        <a:xfrm rot="16200000">
          <a:off x="13512329986" y="37883216"/>
          <a:ext cx="237886" cy="3127042"/>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109613</xdr:colOff>
      <xdr:row>295</xdr:row>
      <xdr:rowOff>113393</xdr:rowOff>
    </xdr:from>
    <xdr:to>
      <xdr:col>7</xdr:col>
      <xdr:colOff>86934</xdr:colOff>
      <xdr:row>295</xdr:row>
      <xdr:rowOff>117173</xdr:rowOff>
    </xdr:to>
    <xdr:cxnSp macro="">
      <xdr:nvCxnSpPr>
        <xdr:cNvPr id="10" name="Straight Arrow Connector 9">
          <a:extLst>
            <a:ext uri="{FF2B5EF4-FFF2-40B4-BE49-F238E27FC236}">
              <a16:creationId xmlns:a16="http://schemas.microsoft.com/office/drawing/2014/main" id="{B7025C71-A896-39EC-67A6-04FCE5687CDE}"/>
            </a:ext>
          </a:extLst>
        </xdr:cNvPr>
        <xdr:cNvCxnSpPr/>
      </xdr:nvCxnSpPr>
      <xdr:spPr>
        <a:xfrm flipV="1">
          <a:off x="13494366101" y="55131607"/>
          <a:ext cx="4921250" cy="37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317500</xdr:colOff>
      <xdr:row>293</xdr:row>
      <xdr:rowOff>45126</xdr:rowOff>
    </xdr:from>
    <xdr:to>
      <xdr:col>6</xdr:col>
      <xdr:colOff>449791</xdr:colOff>
      <xdr:row>294</xdr:row>
      <xdr:rowOff>22679</xdr:rowOff>
    </xdr:to>
    <xdr:sp macro="" textlink="">
      <xdr:nvSpPr>
        <xdr:cNvPr id="12" name="Freeform 11">
          <a:extLst>
            <a:ext uri="{FF2B5EF4-FFF2-40B4-BE49-F238E27FC236}">
              <a16:creationId xmlns:a16="http://schemas.microsoft.com/office/drawing/2014/main" id="{9C71358A-B1B8-D07C-36A0-49DB44A407A0}"/>
            </a:ext>
          </a:extLst>
        </xdr:cNvPr>
        <xdr:cNvSpPr/>
      </xdr:nvSpPr>
      <xdr:spPr>
        <a:xfrm>
          <a:off x="13494827232" y="54655126"/>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238125</xdr:colOff>
      <xdr:row>292</xdr:row>
      <xdr:rowOff>75364</xdr:rowOff>
    </xdr:from>
    <xdr:to>
      <xdr:col>4</xdr:col>
      <xdr:colOff>370417</xdr:colOff>
      <xdr:row>293</xdr:row>
      <xdr:rowOff>52917</xdr:rowOff>
    </xdr:to>
    <xdr:sp macro="" textlink="">
      <xdr:nvSpPr>
        <xdr:cNvPr id="13" name="Freeform 12">
          <a:extLst>
            <a:ext uri="{FF2B5EF4-FFF2-40B4-BE49-F238E27FC236}">
              <a16:creationId xmlns:a16="http://schemas.microsoft.com/office/drawing/2014/main" id="{C1225284-04B9-F7AB-0D95-CCF7BD6F8DBB}"/>
            </a:ext>
          </a:extLst>
        </xdr:cNvPr>
        <xdr:cNvSpPr/>
      </xdr:nvSpPr>
      <xdr:spPr>
        <a:xfrm>
          <a:off x="13496554583" y="54889471"/>
          <a:ext cx="1780268" cy="181660"/>
        </a:xfrm>
        <a:custGeom>
          <a:avLst/>
          <a:gdLst>
            <a:gd name="connsiteX0" fmla="*/ 0 w 1780268"/>
            <a:gd name="connsiteY0" fmla="*/ 151422 h 181660"/>
            <a:gd name="connsiteX1" fmla="*/ 755953 w 1780268"/>
            <a:gd name="connsiteY1" fmla="*/ 231 h 181660"/>
            <a:gd name="connsiteX2" fmla="*/ 1780268 w 1780268"/>
            <a:gd name="connsiteY2" fmla="*/ 181660 h 181660"/>
          </a:gdLst>
          <a:ahLst/>
          <a:cxnLst>
            <a:cxn ang="0">
              <a:pos x="connsiteX0" y="connsiteY0"/>
            </a:cxn>
            <a:cxn ang="0">
              <a:pos x="connsiteX1" y="connsiteY1"/>
            </a:cxn>
            <a:cxn ang="0">
              <a:pos x="connsiteX2" y="connsiteY2"/>
            </a:cxn>
          </a:cxnLst>
          <a:rect l="l" t="t" r="r" b="b"/>
          <a:pathLst>
            <a:path w="1780268" h="181660">
              <a:moveTo>
                <a:pt x="0" y="151422"/>
              </a:moveTo>
              <a:cubicBezTo>
                <a:pt x="229621" y="73306"/>
                <a:pt x="459242" y="-4809"/>
                <a:pt x="755953" y="231"/>
              </a:cubicBezTo>
              <a:cubicBezTo>
                <a:pt x="1052664" y="5271"/>
                <a:pt x="1416466" y="93465"/>
                <a:pt x="1780268" y="18166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27253</xdr:colOff>
      <xdr:row>597</xdr:row>
      <xdr:rowOff>136265</xdr:rowOff>
    </xdr:from>
    <xdr:to>
      <xdr:col>8</xdr:col>
      <xdr:colOff>250730</xdr:colOff>
      <xdr:row>669</xdr:row>
      <xdr:rowOff>196223</xdr:rowOff>
    </xdr:to>
    <xdr:sp macro="" textlink="">
      <xdr:nvSpPr>
        <xdr:cNvPr id="3" name="TextBox 2">
          <a:extLst>
            <a:ext uri="{FF2B5EF4-FFF2-40B4-BE49-F238E27FC236}">
              <a16:creationId xmlns:a16="http://schemas.microsoft.com/office/drawing/2014/main" id="{BCADF411-43E2-64F2-0D3E-AA36E7C75CE3}"/>
            </a:ext>
          </a:extLst>
        </xdr:cNvPr>
        <xdr:cNvSpPr txBox="1"/>
      </xdr:nvSpPr>
      <xdr:spPr>
        <a:xfrm>
          <a:off x="13477970386" y="70951029"/>
          <a:ext cx="6807855" cy="145804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endParaRPr lang="en-US" sz="1100"/>
        </a:p>
      </xdr:txBody>
    </xdr:sp>
    <xdr:clientData/>
  </xdr:twoCellAnchor>
  <xdr:twoCellAnchor>
    <xdr:from>
      <xdr:col>0</xdr:col>
      <xdr:colOff>0</xdr:colOff>
      <xdr:row>715</xdr:row>
      <xdr:rowOff>204836</xdr:rowOff>
    </xdr:from>
    <xdr:to>
      <xdr:col>8</xdr:col>
      <xdr:colOff>223477</xdr:colOff>
      <xdr:row>858</xdr:row>
      <xdr:rowOff>90129</xdr:rowOff>
    </xdr:to>
    <xdr:sp macro="" textlink="">
      <xdr:nvSpPr>
        <xdr:cNvPr id="6" name="TextBox 5">
          <a:extLst>
            <a:ext uri="{FF2B5EF4-FFF2-40B4-BE49-F238E27FC236}">
              <a16:creationId xmlns:a16="http://schemas.microsoft.com/office/drawing/2014/main" id="{563834D8-508B-F547-9C5D-4AE82ACD6C06}"/>
            </a:ext>
          </a:extLst>
        </xdr:cNvPr>
        <xdr:cNvSpPr txBox="1"/>
      </xdr:nvSpPr>
      <xdr:spPr>
        <a:xfrm>
          <a:off x="13551708910" y="112796481"/>
          <a:ext cx="6843864" cy="291772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שאלה 1</a:t>
          </a:r>
        </a:p>
        <a:p>
          <a:pPr rtl="1"/>
          <a:r>
            <a:rPr lang="he-IL" sz="1100" b="0" i="0" u="none" strike="noStrike">
              <a:solidFill>
                <a:schemeClr val="dk1"/>
              </a:solidFill>
              <a:effectLst/>
              <a:latin typeface="+mn-lt"/>
              <a:ea typeface="+mn-ea"/>
              <a:cs typeface="+mn-cs"/>
            </a:rPr>
            <a:t>נכס מסים נדחים:</a:t>
          </a:r>
        </a:p>
        <a:p>
          <a:pPr rtl="1" fontAlgn="base"/>
          <a:r>
            <a:rPr lang="he-IL" sz="1100" b="0" i="0" u="none" strike="noStrike">
              <a:solidFill>
                <a:schemeClr val="dk1"/>
              </a:solidFill>
              <a:effectLst/>
              <a:latin typeface="+mn-lt"/>
              <a:ea typeface="+mn-ea"/>
              <a:cs typeface="+mn-cs"/>
            </a:rPr>
            <a:t>א.</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מעיד על תזרים מזומנים חיובי שאנו עתידים לקבל בפועל מרשות המסים.</a:t>
          </a:r>
        </a:p>
        <a:p>
          <a:pPr rtl="1" fontAlgn="base"/>
          <a:r>
            <a:rPr lang="he-IL" sz="1100" b="0" i="0" u="none" strike="noStrike">
              <a:solidFill>
                <a:schemeClr val="dk1"/>
              </a:solidFill>
              <a:effectLst/>
              <a:latin typeface="+mn-lt"/>
              <a:ea typeface="+mn-ea"/>
              <a:cs typeface="+mn-cs"/>
            </a:rPr>
            <a:t>ב. נוצר כנגד גידול בהוצאות המס.</a:t>
          </a:r>
        </a:p>
        <a:p>
          <a:pPr rtl="1" fontAlgn="base"/>
          <a:r>
            <a:rPr lang="he-IL" sz="1100" b="0" i="0" u="none" strike="noStrike">
              <a:solidFill>
                <a:schemeClr val="dk1"/>
              </a:solidFill>
              <a:effectLst/>
              <a:latin typeface="+mn-lt"/>
              <a:ea typeface="+mn-ea"/>
              <a:cs typeface="+mn-cs"/>
            </a:rPr>
            <a:t>ג. משקף חסכון מס עתידי.</a:t>
          </a:r>
        </a:p>
        <a:p>
          <a:pPr rtl="1" fontAlgn="base"/>
          <a:r>
            <a:rPr lang="he-IL" sz="1100" b="0" i="0" u="none" strike="noStrike">
              <a:solidFill>
                <a:schemeClr val="dk1"/>
              </a:solidFill>
              <a:effectLst/>
              <a:latin typeface="+mn-lt"/>
              <a:ea typeface="+mn-ea"/>
              <a:cs typeface="+mn-cs"/>
            </a:rPr>
            <a:t>ד. יוכר גם אם אין צפי להכנסה חייבת שכנגדה ניתן יהא לקזז ההפרש הזמני.</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 </a:t>
          </a:r>
        </a:p>
        <a:p>
          <a:pPr rtl="1" fontAlgn="base"/>
          <a:r>
            <a:rPr lang="he-IL" sz="1100" b="0" i="0" u="none" strike="noStrike">
              <a:solidFill>
                <a:schemeClr val="dk1"/>
              </a:solidFill>
              <a:effectLst/>
              <a:latin typeface="+mn-lt"/>
              <a:ea typeface="+mn-ea"/>
              <a:cs typeface="+mn-cs"/>
            </a:rPr>
            <a:t>נכס מס נדחה, בגסות משקף הטבת מס (קיזוז מסכומי המס לתשלום)</a:t>
          </a:r>
          <a:r>
            <a:rPr lang="he-IL" sz="1100" b="0" i="0" u="none" strike="noStrike" baseline="0">
              <a:solidFill>
                <a:schemeClr val="dk1"/>
              </a:solidFill>
              <a:effectLst/>
              <a:latin typeface="+mn-lt"/>
              <a:ea typeface="+mn-ea"/>
              <a:cs typeface="+mn-cs"/>
            </a:rPr>
            <a:t> שצפויה להיווצר בשנים הבאות כתוצאה מאירועי</a:t>
          </a:r>
        </a:p>
        <a:p>
          <a:pPr rtl="1" fontAlgn="base"/>
          <a:r>
            <a:rPr lang="he-IL" sz="1100" b="0" i="0" u="none" strike="noStrike" baseline="0">
              <a:solidFill>
                <a:schemeClr val="dk1"/>
              </a:solidFill>
              <a:effectLst/>
              <a:latin typeface="+mn-lt"/>
              <a:ea typeface="+mn-ea"/>
              <a:cs typeface="+mn-cs"/>
            </a:rPr>
            <a:t>השנה / אירועי שנים קודמות. </a:t>
          </a:r>
        </a:p>
        <a:p>
          <a:pPr rtl="1" fontAlgn="base"/>
          <a:r>
            <a:rPr lang="he-IL" sz="1100" b="0" i="0" u="none" strike="noStrike" baseline="0">
              <a:solidFill>
                <a:schemeClr val="dk1"/>
              </a:solidFill>
              <a:effectLst/>
              <a:latin typeface="+mn-lt"/>
              <a:ea typeface="+mn-ea"/>
              <a:cs typeface="+mn-cs"/>
            </a:rPr>
            <a:t>לאור עובדה זו, הרי שנכס המס הנדחה לא משקף באמת תזרים חיובי שעתידים לקבל, אלא ניכוי מסכום המס לתשלום בעתיד, התשובה הנכונה ביותר: ג. משקף חסכון מס עתידי. </a:t>
          </a:r>
        </a:p>
        <a:p>
          <a:pPr rtl="1" fontAlgn="base"/>
          <a:r>
            <a:rPr lang="he-IL" sz="1100" b="0" i="0" u="none" strike="noStrike" baseline="0">
              <a:solidFill>
                <a:schemeClr val="dk1"/>
              </a:solidFill>
              <a:effectLst/>
              <a:latin typeface="+mn-lt"/>
              <a:ea typeface="+mn-ea"/>
              <a:cs typeface="+mn-cs"/>
            </a:rPr>
            <a:t>הואיל והנכס הנ״ל משקף הטבת מס שתהווה קיזוז מתשלומי מס עתידיים, הרי שאותם תשלומי מס עתידיים ייווצרו בכלל אם ורק אם תהיה בעתיד הכנסה חייבת. לכן ד שגוי. </a:t>
          </a:r>
          <a:endParaRPr lang="he-IL" sz="1100" b="0" i="0" u="none" strike="noStrike">
            <a:solidFill>
              <a:schemeClr val="dk1"/>
            </a:solidFill>
            <a:effectLst/>
            <a:latin typeface="+mn-lt"/>
            <a:ea typeface="+mn-ea"/>
            <a:cs typeface="+mn-cs"/>
          </a:endParaRPr>
        </a:p>
        <a:p>
          <a:pPr rtl="1"/>
          <a:br>
            <a:rPr lang="he-IL"/>
          </a:br>
          <a:r>
            <a:rPr lang="he-IL" sz="1100" b="0" i="0" u="none" strike="noStrike">
              <a:solidFill>
                <a:schemeClr val="dk1"/>
              </a:solidFill>
              <a:effectLst/>
              <a:latin typeface="+mn-lt"/>
              <a:ea typeface="+mn-ea"/>
              <a:cs typeface="+mn-cs"/>
            </a:rPr>
            <a:t>שאלה 2</a:t>
          </a:r>
        </a:p>
        <a:p>
          <a:pPr rtl="1"/>
          <a:r>
            <a:rPr lang="he-IL" sz="1100" b="0" i="0" u="none" strike="noStrike">
              <a:solidFill>
                <a:schemeClr val="dk1"/>
              </a:solidFill>
              <a:effectLst/>
              <a:latin typeface="+mn-lt"/>
              <a:ea typeface="+mn-ea"/>
              <a:cs typeface="+mn-cs"/>
            </a:rPr>
            <a:t>בחברה ידוע כי הרווח החשבונאי לפני מס מסתכם ב-400,000 ש"ח. בנוסף ידוע כי בחברה לתחילת אותה שנה נכסי מסים נדחים ששינויים בהם נזקפים לרווח או הפסד, בסך 40,000 ש"ח ולתום השנה בסך 30,000 ש"ח. לחברה אין התחייבויות למסים נדחים. המס החל על החברה הנו קבוע בשיעור 30%. לאור זאת, הוצאות המס בחברה תהיינה:</a:t>
          </a:r>
        </a:p>
        <a:p>
          <a:pPr rtl="1" fontAlgn="base"/>
          <a:r>
            <a:rPr lang="he-IL" sz="1100" b="0" i="0" u="none" strike="noStrike">
              <a:solidFill>
                <a:schemeClr val="dk1"/>
              </a:solidFill>
              <a:effectLst/>
              <a:latin typeface="+mn-lt"/>
              <a:ea typeface="+mn-ea"/>
              <a:cs typeface="+mn-cs"/>
            </a:rPr>
            <a:t>א. 120,000 ש"ח</a:t>
          </a:r>
        </a:p>
        <a:p>
          <a:pPr rtl="1" fontAlgn="base"/>
          <a:r>
            <a:rPr lang="he-IL" sz="1100" b="0" i="0" u="none" strike="noStrike">
              <a:solidFill>
                <a:schemeClr val="dk1"/>
              </a:solidFill>
              <a:effectLst/>
              <a:latin typeface="+mn-lt"/>
              <a:ea typeface="+mn-ea"/>
              <a:cs typeface="+mn-cs"/>
            </a:rPr>
            <a:t>ב. 130,000 ש״ח</a:t>
          </a:r>
        </a:p>
        <a:p>
          <a:pPr rtl="1" fontAlgn="base"/>
          <a:r>
            <a:rPr lang="he-IL" sz="1100" b="0" i="0" u="none" strike="noStrike">
              <a:solidFill>
                <a:schemeClr val="dk1"/>
              </a:solidFill>
              <a:effectLst/>
              <a:latin typeface="+mn-lt"/>
              <a:ea typeface="+mn-ea"/>
              <a:cs typeface="+mn-cs"/>
            </a:rPr>
            <a:t>ג. 110,000 ש״ח </a:t>
          </a:r>
        </a:p>
        <a:p>
          <a:pPr rtl="1" fontAlgn="base"/>
          <a:r>
            <a:rPr lang="he-IL" sz="1100" b="0" i="0" u="none" strike="noStrike">
              <a:solidFill>
                <a:schemeClr val="dk1"/>
              </a:solidFill>
              <a:effectLst/>
              <a:latin typeface="+mn-lt"/>
              <a:ea typeface="+mn-ea"/>
              <a:cs typeface="+mn-cs"/>
            </a:rPr>
            <a:t>ד. 123,000</a:t>
          </a:r>
          <a:r>
            <a:rPr lang="he-IL" sz="1100" b="0" i="0" u="none" strike="noStrike" baseline="0">
              <a:solidFill>
                <a:schemeClr val="dk1"/>
              </a:solidFill>
              <a:effectLst/>
              <a:latin typeface="+mn-lt"/>
              <a:ea typeface="+mn-ea"/>
              <a:cs typeface="+mn-cs"/>
            </a:rPr>
            <a:t> ש״ח</a:t>
          </a:r>
        </a:p>
        <a:p>
          <a:pPr rtl="1" fontAlgn="base"/>
          <a:r>
            <a:rPr lang="he-IL" sz="1100" b="0" i="0" u="none" strike="noStrike" baseline="0">
              <a:solidFill>
                <a:schemeClr val="dk1"/>
              </a:solidFill>
              <a:effectLst/>
              <a:latin typeface="+mn-lt"/>
              <a:ea typeface="+mn-ea"/>
              <a:cs typeface="+mn-cs"/>
            </a:rPr>
            <a:t>ה. אין אף תשובה נכונה</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פתרון:</a:t>
          </a:r>
        </a:p>
        <a:p>
          <a:pPr rtl="1" fontAlgn="base"/>
          <a:r>
            <a:rPr lang="he-IL" sz="1100" b="0" i="0" u="none" strike="noStrike" baseline="0">
              <a:solidFill>
                <a:schemeClr val="dk1"/>
              </a:solidFill>
              <a:effectLst/>
              <a:latin typeface="+mn-lt"/>
              <a:ea typeface="+mn-ea"/>
              <a:cs typeface="+mn-cs"/>
            </a:rPr>
            <a:t>כאשר ההפרש הזמני הניתן לניכוי קטן, אנחנו מקטינים את ההכנסה החייבת בהתאם לתנועה בהפרש הזמני.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לפי החישוב בצד, ניתן לראות שנוצרה התאמה שלילית בדוח התאמה, וכן עלייה בהוצאות המס הנדחה, כך שסך הוצאות המס הן בסך 120,000 ש״ח. </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לכן התשובה 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טריק קצר יותר יאמר: הואיל ואין שינויים בשיעורי המס, אין הוצאות לא מוכרות, אין תרומות, אין קנסות, אין ״הפרעות״ שמובילות לכך שיש הפרש שלא יתהפך / יתהפך בשיעור מס שונה, הוצאות המס בהחלט ניתנות לחישוב כמכפלת רווח חשבונאי לפני מס בשיעור המס: 400,000 * 30% = 120,000.</a:t>
          </a:r>
        </a:p>
        <a:p>
          <a:pPr rtl="1" fontAlgn="base"/>
          <a:endParaRPr lang="he-IL" sz="1100" b="0" i="0" u="none" strike="noStrike" baseline="0">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נתונים לשאלות 3 ו-4</a:t>
          </a:r>
        </a:p>
        <a:p>
          <a:pPr rtl="1"/>
          <a:r>
            <a:rPr lang="he-IL" sz="1100" b="0" i="0" u="none" strike="noStrike">
              <a:solidFill>
                <a:schemeClr val="dk1"/>
              </a:solidFill>
              <a:effectLst/>
              <a:latin typeface="+mn-lt"/>
              <a:ea typeface="+mn-ea"/>
              <a:cs typeface="+mn-cs"/>
            </a:rPr>
            <a:t>חברה רכשה בתאריך 1 בינואר 2010 מכונה בעלות של 50,000 ש"ח. שיעור המס החל על החברה חיובי וקבוע והיא צופה להניב הכנסה חייבת בעתיד הנראה לעין. המכונה מופחתת לצרכים חשבונאיים על פני 10 שנים בשיטת הקו הישר, ללא ערך גרט. לצרכי מס, מופחתת המכונה על פני 5 שנים בלבד. </a:t>
          </a:r>
        </a:p>
        <a:p>
          <a:pPr rtl="1"/>
          <a:br>
            <a:rPr lang="he-IL" b="1"/>
          </a:br>
          <a:r>
            <a:rPr lang="he-IL" sz="1100" b="1" i="0" u="none" strike="noStrike">
              <a:solidFill>
                <a:schemeClr val="dk1"/>
              </a:solidFill>
              <a:effectLst/>
              <a:latin typeface="+mn-lt"/>
              <a:ea typeface="+mn-ea"/>
              <a:cs typeface="+mn-cs"/>
            </a:rPr>
            <a:t>שאלה 3</a:t>
          </a:r>
        </a:p>
        <a:p>
          <a:pPr rtl="1"/>
          <a:r>
            <a:rPr lang="he-IL" sz="1100" b="0" i="0" u="none" strike="noStrike">
              <a:solidFill>
                <a:schemeClr val="dk1"/>
              </a:solidFill>
              <a:effectLst/>
              <a:latin typeface="+mn-lt"/>
              <a:ea typeface="+mn-ea"/>
              <a:cs typeface="+mn-cs"/>
            </a:rPr>
            <a:t>לאור הנתונים, הרי שלתום שנת 2010:</a:t>
          </a:r>
        </a:p>
        <a:p>
          <a:pPr rtl="1" fontAlgn="base"/>
          <a:r>
            <a:rPr lang="he-IL" sz="1100" b="0" i="0" u="none" strike="noStrike">
              <a:solidFill>
                <a:schemeClr val="dk1"/>
              </a:solidFill>
              <a:effectLst/>
              <a:latin typeface="+mn-lt"/>
              <a:ea typeface="+mn-ea"/>
              <a:cs typeface="+mn-cs"/>
            </a:rPr>
            <a:t>א. יתקיים בחברה נכס מס נדחה </a:t>
          </a:r>
        </a:p>
        <a:p>
          <a:pPr rtl="1" fontAlgn="base"/>
          <a:r>
            <a:rPr lang="he-IL" sz="1100" b="0" i="0" u="none" strike="noStrike">
              <a:solidFill>
                <a:schemeClr val="dk1"/>
              </a:solidFill>
              <a:effectLst/>
              <a:latin typeface="+mn-lt"/>
              <a:ea typeface="+mn-ea"/>
              <a:cs typeface="+mn-cs"/>
            </a:rPr>
            <a:t>ב. תתקיים בחברה התחייבות למסים נדחים</a:t>
          </a:r>
        </a:p>
        <a:p>
          <a:pPr rtl="1" fontAlgn="base"/>
          <a:r>
            <a:rPr lang="he-IL" sz="1100" b="0" i="0" u="none" strike="noStrike">
              <a:solidFill>
                <a:schemeClr val="dk1"/>
              </a:solidFill>
              <a:effectLst/>
              <a:latin typeface="+mn-lt"/>
              <a:ea typeface="+mn-ea"/>
              <a:cs typeface="+mn-cs"/>
            </a:rPr>
            <a:t>ג. לא יתקיימו יתרות של נכסי / התחייבויות מסים נדחים שכן ההפרש הזמני יתהפך</a:t>
          </a:r>
        </a:p>
        <a:p>
          <a:pPr rtl="1" fontAlgn="base"/>
          <a:r>
            <a:rPr lang="he-IL" sz="1100" b="0" i="0" u="none" strike="noStrike">
              <a:solidFill>
                <a:schemeClr val="dk1"/>
              </a:solidFill>
              <a:effectLst/>
              <a:latin typeface="+mn-lt"/>
              <a:ea typeface="+mn-ea"/>
              <a:cs typeface="+mn-cs"/>
            </a:rPr>
            <a:t>ד. לא ניתן לדעת הואיל ושיעור המס לא נתון במדויק</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ניתן לראות בחישוב הקטן משמאל שנוצר הפרש זמני חייב במס. לאורו, נוצרת גם התחייבות למסים נדחים (סכומה איננו ניתן לחישוב, אך לא שאלו על סכום). </a:t>
          </a:r>
        </a:p>
        <a:p>
          <a:pPr rtl="1" fontAlgn="base"/>
          <a:r>
            <a:rPr lang="he-IL" sz="1100" b="0" i="0" u="none" strike="noStrike">
              <a:solidFill>
                <a:schemeClr val="dk1"/>
              </a:solidFill>
              <a:effectLst/>
              <a:latin typeface="+mn-lt"/>
              <a:ea typeface="+mn-ea"/>
              <a:cs typeface="+mn-cs"/>
            </a:rPr>
            <a:t>כמובן שההפרש הזמני מתהפך וזהו אחד מהגורמים להכרה בהתחייבות</a:t>
          </a:r>
          <a:r>
            <a:rPr lang="he-IL" sz="1100" b="0" i="0" u="none" strike="noStrike" baseline="0">
              <a:solidFill>
                <a:schemeClr val="dk1"/>
              </a:solidFill>
              <a:effectLst/>
              <a:latin typeface="+mn-lt"/>
              <a:ea typeface="+mn-ea"/>
              <a:cs typeface="+mn-cs"/>
            </a:rPr>
            <a:t> למסים נדחים, וזאת לאור העובדה שלאחר 5 שנות ההפחתה לצורך מס, בחשבונאות - נמשיך להפחית את הנכס 5 שנים נוספות וזה מה שיגרום להיפוך ולפער בכיוון ההפוך.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שאלה 4</a:t>
          </a:r>
        </a:p>
        <a:p>
          <a:pPr rtl="1"/>
          <a:r>
            <a:rPr lang="he-IL" sz="1100" b="0" i="0" u="none" strike="noStrike">
              <a:solidFill>
                <a:schemeClr val="dk1"/>
              </a:solidFill>
              <a:effectLst/>
              <a:latin typeface="+mn-lt"/>
              <a:ea typeface="+mn-ea"/>
              <a:cs typeface="+mn-cs"/>
            </a:rPr>
            <a:t>הנח כעת כי המס החל על החברה הנו קבוע בשיעור 30% וכי הרווח החשבונאי שלה לפני מס הנו 100,000 ש"ח. לאור זאת, בשנת 2010:</a:t>
          </a:r>
        </a:p>
        <a:p>
          <a:pPr rtl="1" fontAlgn="base"/>
          <a:r>
            <a:rPr lang="he-IL" sz="1100" b="0" i="0" u="none" strike="noStrike">
              <a:solidFill>
                <a:schemeClr val="dk1"/>
              </a:solidFill>
              <a:effectLst/>
              <a:latin typeface="+mn-lt"/>
              <a:ea typeface="+mn-ea"/>
              <a:cs typeface="+mn-cs"/>
            </a:rPr>
            <a:t>א. סך הוצאות המס (מסים שוטפים ונדחים) יהא בסך 30,000 ש"ח </a:t>
          </a:r>
        </a:p>
        <a:p>
          <a:pPr rtl="1" fontAlgn="base"/>
          <a:r>
            <a:rPr lang="he-IL" sz="1100" b="0" i="0" u="none" strike="noStrike">
              <a:solidFill>
                <a:schemeClr val="dk1"/>
              </a:solidFill>
              <a:effectLst/>
              <a:latin typeface="+mn-lt"/>
              <a:ea typeface="+mn-ea"/>
              <a:cs typeface="+mn-cs"/>
            </a:rPr>
            <a:t>ב.</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הוצאות המסים הנדחים תהיינה בסך 1,500 ש"ח.</a:t>
          </a:r>
        </a:p>
        <a:p>
          <a:pPr rtl="1" fontAlgn="base"/>
          <a:r>
            <a:rPr lang="he-IL" sz="1100" b="0" i="0" u="none" strike="noStrike">
              <a:solidFill>
                <a:schemeClr val="dk1"/>
              </a:solidFill>
              <a:effectLst/>
              <a:latin typeface="+mn-lt"/>
              <a:ea typeface="+mn-ea"/>
              <a:cs typeface="+mn-cs"/>
            </a:rPr>
            <a:t>ג. תשובות א' ו-ב' נכונות.</a:t>
          </a:r>
        </a:p>
        <a:p>
          <a:pPr rtl="1" fontAlgn="base"/>
          <a:r>
            <a:rPr lang="he-IL" sz="1100" b="0" i="0" u="none" strike="noStrike">
              <a:solidFill>
                <a:schemeClr val="dk1"/>
              </a:solidFill>
              <a:effectLst/>
              <a:latin typeface="+mn-lt"/>
              <a:ea typeface="+mn-ea"/>
              <a:cs typeface="+mn-cs"/>
            </a:rPr>
            <a:t>ד. סך הוצאות המס (מסים שוטפים ונדחים) יהא בסך 35,000 ש"ח </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ג</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גם במקרה זה, כל ההפרשים מתהפכים, אין שינויים בשיעורי המס, אין הוצאות לא מוכרות, אין תרומות, אין בלגן. לכן אפשר לחשב באופן מהיר את הוצאות המס כמכפלה פשוטה של שיעור מס החברות ברווח החשבונאי לפני מס. ובכל זאת, נפתור משמאל באופן</a:t>
          </a:r>
          <a:r>
            <a:rPr lang="he-IL" sz="1100" b="0" i="0" u="none" strike="noStrike" baseline="0">
              <a:solidFill>
                <a:schemeClr val="dk1"/>
              </a:solidFill>
              <a:effectLst/>
              <a:latin typeface="+mn-lt"/>
              <a:ea typeface="+mn-ea"/>
              <a:cs typeface="+mn-cs"/>
            </a:rPr>
            <a:t> כמותי מלא:</a:t>
          </a:r>
        </a:p>
        <a:p>
          <a:pPr rtl="1" fontAlgn="base"/>
          <a:endParaRPr lang="he-IL" sz="1100" b="0" i="0" u="none" strike="noStrike" baseline="0">
            <a:solidFill>
              <a:schemeClr val="dk1"/>
            </a:solidFill>
            <a:effectLst/>
            <a:latin typeface="+mn-lt"/>
            <a:ea typeface="+mn-ea"/>
            <a:cs typeface="+mn-cs"/>
          </a:endParaRPr>
        </a:p>
        <a:p>
          <a:pPr rtl="1" fontAlgn="base"/>
          <a:r>
            <a:rPr lang="he-IL" sz="1100" b="0" i="0" u="none" strike="noStrike" baseline="0">
              <a:solidFill>
                <a:schemeClr val="dk1"/>
              </a:solidFill>
              <a:effectLst/>
              <a:latin typeface="+mn-lt"/>
              <a:ea typeface="+mn-ea"/>
              <a:cs typeface="+mn-cs"/>
            </a:rPr>
            <a:t>הוצאות מסים שוטפים: 28,500</a:t>
          </a:r>
        </a:p>
        <a:p>
          <a:pPr rtl="1" fontAlgn="base"/>
          <a:r>
            <a:rPr lang="he-IL" sz="1100" b="0" i="0" u="none" strike="noStrike" baseline="0">
              <a:solidFill>
                <a:schemeClr val="dk1"/>
              </a:solidFill>
              <a:effectLst/>
              <a:latin typeface="+mn-lt"/>
              <a:ea typeface="+mn-ea"/>
              <a:cs typeface="+mn-cs"/>
            </a:rPr>
            <a:t>הוצאות מסים נדחים: 1,500 טענה ב</a:t>
          </a:r>
        </a:p>
        <a:p>
          <a:pPr rtl="1" fontAlgn="base"/>
          <a:r>
            <a:rPr lang="he-IL" sz="1100" b="0" i="0" u="none" strike="noStrike" baseline="0">
              <a:solidFill>
                <a:schemeClr val="dk1"/>
              </a:solidFill>
              <a:effectLst/>
              <a:latin typeface="+mn-lt"/>
              <a:ea typeface="+mn-ea"/>
              <a:cs typeface="+mn-cs"/>
            </a:rPr>
            <a:t>סך הוצאות מס: 30,000 טענה א נכונה</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a:br>
          <a:r>
            <a:rPr lang="he-IL" sz="1100" b="1" i="0" u="none" strike="noStrike">
              <a:solidFill>
                <a:schemeClr val="dk1"/>
              </a:solidFill>
              <a:effectLst/>
              <a:latin typeface="+mn-lt"/>
              <a:ea typeface="+mn-ea"/>
              <a:cs typeface="+mn-cs"/>
            </a:rPr>
            <a:t>שאלה 5</a:t>
          </a:r>
        </a:p>
        <a:p>
          <a:pPr rtl="1"/>
          <a:r>
            <a:rPr lang="he-IL" sz="1100" b="0" i="0" u="none" strike="noStrike">
              <a:solidFill>
                <a:schemeClr val="dk1"/>
              </a:solidFill>
              <a:effectLst/>
              <a:latin typeface="+mn-lt"/>
              <a:ea typeface="+mn-ea"/>
              <a:cs typeface="+mn-cs"/>
            </a:rPr>
            <a:t>יתרת ההלח"מ בחברת "פלפולים" ליום 31 בדצמבר 2010 היא בסך 40,000 ש"ח ואילו יתרת ההלח"מ ליום 31 בדצמבר 2011 היא בסך 70,000 ש"ח. במהלך 2011 נוצרו בחברה חובות אבודים בסך 20,000 ש"ח. החברה צופה קיום הכנסה חייבת בעתיד הנראה לעין ושיעור המס החל עליה הנו 30%. לאור זאת:</a:t>
          </a:r>
        </a:p>
        <a:p>
          <a:pPr rtl="1" fontAlgn="base"/>
          <a:r>
            <a:rPr lang="he-IL" sz="1100" b="0" i="0" u="none" strike="noStrike">
              <a:solidFill>
                <a:schemeClr val="dk1"/>
              </a:solidFill>
              <a:effectLst/>
              <a:latin typeface="+mn-lt"/>
              <a:ea typeface="+mn-ea"/>
              <a:cs typeface="+mn-cs"/>
            </a:rPr>
            <a:t>א. ליום 31 בדצמבר 2011 תתקיים בחברה יתרת נכס מסים נדחים בסך 12,000 ש"ח </a:t>
          </a:r>
        </a:p>
        <a:p>
          <a:pPr rtl="1" fontAlgn="base"/>
          <a:r>
            <a:rPr lang="he-IL" sz="1100" b="0" i="0" u="none" strike="noStrike">
              <a:solidFill>
                <a:schemeClr val="dk1"/>
              </a:solidFill>
              <a:effectLst/>
              <a:latin typeface="+mn-lt"/>
              <a:ea typeface="+mn-ea"/>
              <a:cs typeface="+mn-cs"/>
            </a:rPr>
            <a:t>ב. ליום 31 בדצמבר 2011 תתקיים בחברה יתרת נכס מסים נדחים בסך 21,000 ש"ח </a:t>
          </a:r>
        </a:p>
        <a:p>
          <a:pPr rtl="1" fontAlgn="base"/>
          <a:r>
            <a:rPr lang="he-IL" sz="1100" b="0" i="0" u="none" strike="noStrike">
              <a:solidFill>
                <a:schemeClr val="dk1"/>
              </a:solidFill>
              <a:effectLst/>
              <a:latin typeface="+mn-lt"/>
              <a:ea typeface="+mn-ea"/>
              <a:cs typeface="+mn-cs"/>
            </a:rPr>
            <a:t>ג. בשנת 2011 תכיר החברה בהוצאות מסים נדחים בסך 9,000 ש"ח </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r>
            <a:rPr lang="he-IL" sz="1100" b="0" i="0" u="none" strike="noStrike">
              <a:solidFill>
                <a:schemeClr val="dk1"/>
              </a:solidFill>
              <a:effectLst/>
              <a:latin typeface="+mn-lt"/>
              <a:ea typeface="+mn-ea"/>
              <a:cs typeface="+mn-cs"/>
            </a:rPr>
            <a:t>פירוט - משמאל. </a:t>
          </a: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6</a:t>
          </a:r>
        </a:p>
        <a:p>
          <a:pPr rtl="1"/>
          <a:r>
            <a:rPr lang="he-IL" sz="1100" b="0" i="0" u="none" strike="noStrike">
              <a:solidFill>
                <a:schemeClr val="dk1"/>
              </a:solidFill>
              <a:effectLst/>
              <a:latin typeface="+mn-lt"/>
              <a:ea typeface="+mn-ea"/>
              <a:cs typeface="+mn-cs"/>
            </a:rPr>
            <a:t>ידוע כי ליום 31 בדצמבר 2012 ערכו של פריט רכוש קבוע בספרים (נטו) הנו 400,000 ש"ח ואילו לצורך מס 500,000 ש"ח. הפריט נמדד לפי שיטת עלות המופחתת. החברה צופה קיום הכנסה חייבת בעתיד הנראה לעין. לאור זאת:</a:t>
          </a:r>
        </a:p>
        <a:p>
          <a:pPr rtl="1" fontAlgn="base"/>
          <a:r>
            <a:rPr lang="he-IL" sz="1100" b="0" i="0" u="none" strike="noStrike">
              <a:solidFill>
                <a:schemeClr val="dk1"/>
              </a:solidFill>
              <a:effectLst/>
              <a:latin typeface="+mn-lt"/>
              <a:ea typeface="+mn-ea"/>
              <a:cs typeface="+mn-cs"/>
            </a:rPr>
            <a:t>א. ליום 31 בדצמבר 2012 יתקיים בחברה נכס מס נדחה</a:t>
          </a:r>
        </a:p>
        <a:p>
          <a:pPr rtl="1" fontAlgn="base"/>
          <a:r>
            <a:rPr lang="he-IL" sz="1100" b="0" i="0" u="none" strike="noStrike">
              <a:solidFill>
                <a:schemeClr val="dk1"/>
              </a:solidFill>
              <a:effectLst/>
              <a:latin typeface="+mn-lt"/>
              <a:ea typeface="+mn-ea"/>
              <a:cs typeface="+mn-cs"/>
            </a:rPr>
            <a:t>ב. ליום 31 בדצמבר 2012 תתקיים בחברה התחייבות למסים נדחים</a:t>
          </a:r>
        </a:p>
        <a:p>
          <a:pPr rtl="1" fontAlgn="base"/>
          <a:r>
            <a:rPr lang="he-IL" sz="1100" b="0" i="0" u="none" strike="noStrike">
              <a:solidFill>
                <a:schemeClr val="dk1"/>
              </a:solidFill>
              <a:effectLst/>
              <a:latin typeface="+mn-lt"/>
              <a:ea typeface="+mn-ea"/>
              <a:cs typeface="+mn-cs"/>
            </a:rPr>
            <a:t>ג. ליום 31 בדצמבר 2012 לא תתקיים יתרת מסים נדחים לאור הצפי להכנסה חייבת בעתיד</a:t>
          </a:r>
        </a:p>
        <a:p>
          <a:pPr rtl="1" fontAlgn="base"/>
          <a:r>
            <a:rPr lang="he-IL" sz="1100" b="0" i="0" u="none" strike="noStrike">
              <a:solidFill>
                <a:schemeClr val="dk1"/>
              </a:solidFill>
              <a:effectLst/>
              <a:latin typeface="+mn-lt"/>
              <a:ea typeface="+mn-ea"/>
              <a:cs typeface="+mn-cs"/>
            </a:rPr>
            <a:t>ד. ייתכן ובחברה קיים נכס מס נדחה או התחייבות למסים נדחים כתלות במועד ההיפוך</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א</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a:t>
          </a:r>
          <a:r>
            <a:rPr lang="he-IL" sz="1100" b="0" i="0" u="none" strike="noStrike" baseline="0">
              <a:solidFill>
                <a:schemeClr val="dk1"/>
              </a:solidFill>
              <a:effectLst/>
              <a:latin typeface="+mn-lt"/>
              <a:ea typeface="+mn-ea"/>
              <a:cs typeface="+mn-cs"/>
            </a:rPr>
            <a:t> קציר: הואיל וערך הספרים של הנכס נמוך מבסיס המס שלו, המשמעות היא שהוכרה הוצאה חשבונאית שרשות המסים טרם הכירה בה. בעתיד, כשההוצאה תוכר ההפרש יתהפך לטובת החברה, ומשכך: נכס 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7</a:t>
          </a:r>
        </a:p>
        <a:p>
          <a:pPr rtl="1"/>
          <a:r>
            <a:rPr lang="he-IL" sz="1100" b="0" i="0" u="none" strike="noStrike">
              <a:solidFill>
                <a:schemeClr val="dk1"/>
              </a:solidFill>
              <a:effectLst/>
              <a:latin typeface="+mn-lt"/>
              <a:ea typeface="+mn-ea"/>
              <a:cs typeface="+mn-cs"/>
            </a:rPr>
            <a:t>הוצאות המסים הנדחים עשויות להירשם כנגד:</a:t>
          </a:r>
        </a:p>
        <a:p>
          <a:pPr rtl="1" fontAlgn="base"/>
          <a:r>
            <a:rPr lang="he-IL" sz="1100" b="0" i="0" u="none" strike="noStrike">
              <a:solidFill>
                <a:schemeClr val="dk1"/>
              </a:solidFill>
              <a:effectLst/>
              <a:latin typeface="+mn-lt"/>
              <a:ea typeface="+mn-ea"/>
              <a:cs typeface="+mn-cs"/>
            </a:rPr>
            <a:t>א. קופה או אמצעי תשלום אחר</a:t>
          </a:r>
        </a:p>
        <a:p>
          <a:pPr rtl="1" fontAlgn="base"/>
          <a:r>
            <a:rPr lang="he-IL" sz="1100" b="0" i="0" u="none" strike="noStrike">
              <a:solidFill>
                <a:schemeClr val="dk1"/>
              </a:solidFill>
              <a:effectLst/>
              <a:latin typeface="+mn-lt"/>
              <a:ea typeface="+mn-ea"/>
              <a:cs typeface="+mn-cs"/>
            </a:rPr>
            <a:t>ב. קיטון בנכס מס נדחה</a:t>
          </a:r>
        </a:p>
        <a:p>
          <a:pPr rtl="1" fontAlgn="base"/>
          <a:r>
            <a:rPr lang="he-IL" sz="1100" b="0" i="0" u="none" strike="noStrike">
              <a:solidFill>
                <a:schemeClr val="dk1"/>
              </a:solidFill>
              <a:effectLst/>
              <a:latin typeface="+mn-lt"/>
              <a:ea typeface="+mn-ea"/>
              <a:cs typeface="+mn-cs"/>
            </a:rPr>
            <a:t>ג. גידול בהתחייבות למסים נדחים</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ד.</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בהחלט ניתן להכיר בהוצאות מס נדחה לפי:</a:t>
          </a:r>
        </a:p>
        <a:p>
          <a:pPr rtl="1" fontAlgn="base"/>
          <a:r>
            <a:rPr lang="he-IL" sz="1100" b="0" i="0" u="none" strike="noStrike">
              <a:solidFill>
                <a:schemeClr val="dk1"/>
              </a:solidFill>
              <a:effectLst/>
              <a:latin typeface="+mn-lt"/>
              <a:ea typeface="+mn-ea"/>
              <a:cs typeface="+mn-cs"/>
            </a:rPr>
            <a:t>ח׳ הוצאות מס נדחה</a:t>
          </a:r>
        </a:p>
        <a:p>
          <a:pPr rtl="1" fontAlgn="base"/>
          <a:r>
            <a:rPr lang="he-IL" sz="1100" b="0" i="0" u="none" strike="noStrike">
              <a:solidFill>
                <a:schemeClr val="dk1"/>
              </a:solidFill>
              <a:effectLst/>
              <a:latin typeface="+mn-lt"/>
              <a:ea typeface="+mn-ea"/>
              <a:cs typeface="+mn-cs"/>
            </a:rPr>
            <a:t>ז׳ נכס מס נדחה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ובנוסף</a:t>
          </a:r>
          <a:r>
            <a:rPr lang="he-IL" sz="1100" b="0" i="0" u="none" strike="noStrike" baseline="0">
              <a:solidFill>
                <a:schemeClr val="dk1"/>
              </a:solidFill>
              <a:effectLst/>
              <a:latin typeface="+mn-lt"/>
              <a:ea typeface="+mn-ea"/>
              <a:cs typeface="+mn-cs"/>
            </a:rPr>
            <a:t> באמצעות:</a:t>
          </a:r>
        </a:p>
        <a:p>
          <a:pPr rtl="1" fontAlgn="base"/>
          <a:r>
            <a:rPr lang="he-IL" sz="1100" b="0" i="0" u="none" strike="noStrike" baseline="0">
              <a:solidFill>
                <a:schemeClr val="dk1"/>
              </a:solidFill>
              <a:effectLst/>
              <a:latin typeface="+mn-lt"/>
              <a:ea typeface="+mn-ea"/>
              <a:cs typeface="+mn-cs"/>
            </a:rPr>
            <a:t>ח׳ הוצאות מס נדחה</a:t>
          </a:r>
        </a:p>
        <a:p>
          <a:pPr rtl="1" fontAlgn="base"/>
          <a:r>
            <a:rPr lang="he-IL" sz="1100" b="0" i="0" u="none" strike="noStrike" baseline="0">
              <a:solidFill>
                <a:schemeClr val="dk1"/>
              </a:solidFill>
              <a:effectLst/>
              <a:latin typeface="+mn-lt"/>
              <a:ea typeface="+mn-ea"/>
              <a:cs typeface="+mn-cs"/>
            </a:rPr>
            <a:t>ז׳ התחייבות למסים נדחים</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8</a:t>
          </a:r>
        </a:p>
        <a:p>
          <a:pPr rtl="1"/>
          <a:r>
            <a:rPr lang="he-IL" sz="1100" b="0" i="0" u="none" strike="noStrike">
              <a:solidFill>
                <a:schemeClr val="dk1"/>
              </a:solidFill>
              <a:effectLst/>
              <a:latin typeface="+mn-lt"/>
              <a:ea typeface="+mn-ea"/>
              <a:cs typeface="+mn-cs"/>
            </a:rPr>
            <a:t>נדל"ן להשקעה</a:t>
          </a:r>
          <a:r>
            <a:rPr lang="he-IL" sz="1100" b="0" i="0" u="none" strike="noStrike" baseline="0">
              <a:solidFill>
                <a:schemeClr val="dk1"/>
              </a:solidFill>
              <a:effectLst/>
              <a:latin typeface="+mn-lt"/>
              <a:ea typeface="+mn-ea"/>
              <a:cs typeface="+mn-cs"/>
            </a:rPr>
            <a:t> (קרקע)</a:t>
          </a:r>
          <a:r>
            <a:rPr lang="he-IL" sz="1100" b="0" i="0" u="none" strike="noStrike">
              <a:solidFill>
                <a:schemeClr val="dk1"/>
              </a:solidFill>
              <a:effectLst/>
              <a:latin typeface="+mn-lt"/>
              <a:ea typeface="+mn-ea"/>
              <a:cs typeface="+mn-cs"/>
            </a:rPr>
            <a:t> הנמדד בשווי הוגן כנגד רווח או הפסד נרכש בתאריך 30 ביוני 2013 בעלות של 1,000,000 ש"ח. נכון ליום 31 בדצמבר 2013 עומד שוויו ההוגן של הנדל"ן על 1,100,000 ש"ח. חשב החברה יצר בספרי החברה התחייבות למסים נדחים. רשות המסים מודדת את הנכס על בסיס עלותו המקורית. קיים</a:t>
          </a:r>
          <a:r>
            <a:rPr lang="he-IL" sz="1100" b="0" i="0" u="none" strike="noStrike" baseline="0">
              <a:solidFill>
                <a:schemeClr val="dk1"/>
              </a:solidFill>
              <a:effectLst/>
              <a:latin typeface="+mn-lt"/>
              <a:ea typeface="+mn-ea"/>
              <a:cs typeface="+mn-cs"/>
            </a:rPr>
            <a:t> צפי להכנסה חייבת ותוכניות למימוש הנכס בחלוף מספר שנים. </a:t>
          </a:r>
          <a:r>
            <a:rPr lang="he-IL" sz="1100" b="0" i="0" u="none" strike="noStrike">
              <a:solidFill>
                <a:schemeClr val="dk1"/>
              </a:solidFill>
              <a:effectLst/>
              <a:latin typeface="+mn-lt"/>
              <a:ea typeface="+mn-ea"/>
              <a:cs typeface="+mn-cs"/>
            </a:rPr>
            <a:t>לאור זאת:</a:t>
          </a:r>
        </a:p>
        <a:p>
          <a:pPr rtl="1" fontAlgn="base"/>
          <a:r>
            <a:rPr lang="he-IL" sz="1100" b="0" i="0" u="none" strike="noStrike">
              <a:solidFill>
                <a:schemeClr val="dk1"/>
              </a:solidFill>
              <a:effectLst/>
              <a:latin typeface="+mn-lt"/>
              <a:ea typeface="+mn-ea"/>
              <a:cs typeface="+mn-cs"/>
            </a:rPr>
            <a:t>א. חשב החברה טועה, אין ליצור התחייבות למסים נדחים בשנת רכישת הנכס</a:t>
          </a:r>
        </a:p>
        <a:p>
          <a:pPr rtl="1" fontAlgn="base"/>
          <a:r>
            <a:rPr lang="he-IL" sz="1100" b="0" i="0" u="none" strike="noStrike">
              <a:solidFill>
                <a:schemeClr val="dk1"/>
              </a:solidFill>
              <a:effectLst/>
              <a:latin typeface="+mn-lt"/>
              <a:ea typeface="+mn-ea"/>
              <a:cs typeface="+mn-cs"/>
            </a:rPr>
            <a:t>ב. חשב החברה צודק, קיימת התחייבות לתשלום מס בעתיד</a:t>
          </a:r>
        </a:p>
        <a:p>
          <a:pPr rtl="1" fontAlgn="base"/>
          <a:r>
            <a:rPr lang="he-IL" sz="1100" b="0" i="0" u="none" strike="noStrike">
              <a:solidFill>
                <a:schemeClr val="dk1"/>
              </a:solidFill>
              <a:effectLst/>
              <a:latin typeface="+mn-lt"/>
              <a:ea typeface="+mn-ea"/>
              <a:cs typeface="+mn-cs"/>
            </a:rPr>
            <a:t>ג. אין להכיר בהוצאות מסים נדחים אלא לזקוף ההשפעה כנגד ההון עצמי</a:t>
          </a:r>
        </a:p>
        <a:p>
          <a:pPr rtl="1" fontAlgn="base"/>
          <a:r>
            <a:rPr lang="he-IL" sz="1100" b="0" i="0" u="none" strike="noStrike">
              <a:solidFill>
                <a:schemeClr val="dk1"/>
              </a:solidFill>
              <a:effectLst/>
              <a:latin typeface="+mn-lt"/>
              <a:ea typeface="+mn-ea"/>
              <a:cs typeface="+mn-cs"/>
            </a:rPr>
            <a:t>ד. תשובות ב' ו-ג' נכונות</a:t>
          </a:r>
        </a:p>
        <a:p>
          <a:pPr rtl="1" fontAlgn="base"/>
          <a:r>
            <a:rPr lang="he-IL" sz="1100" b="0" i="0" u="none" strike="noStrike">
              <a:solidFill>
                <a:schemeClr val="dk1"/>
              </a:solidFill>
              <a:effectLst/>
              <a:latin typeface="+mn-lt"/>
              <a:ea typeface="+mn-ea"/>
              <a:cs typeface="+mn-cs"/>
            </a:rPr>
            <a:t>ה. אין אף תשובה נכונה</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התשובה: ב</a:t>
          </a:r>
        </a:p>
        <a:p>
          <a:pPr rtl="1" fontAlgn="base"/>
          <a:endParaRPr lang="he-IL" sz="1100" b="0" i="0" u="none" strike="noStrike">
            <a:solidFill>
              <a:schemeClr val="dk1"/>
            </a:solidFill>
            <a:effectLst/>
            <a:latin typeface="+mn-lt"/>
            <a:ea typeface="+mn-ea"/>
            <a:cs typeface="+mn-cs"/>
          </a:endParaRPr>
        </a:p>
        <a:p>
          <a:pPr rtl="1" fontAlgn="base"/>
          <a:r>
            <a:rPr lang="he-IL" sz="1100" b="0" i="0" u="none" strike="noStrike">
              <a:solidFill>
                <a:schemeClr val="dk1"/>
              </a:solidFill>
              <a:effectLst/>
              <a:latin typeface="+mn-lt"/>
              <a:ea typeface="+mn-ea"/>
              <a:cs typeface="+mn-cs"/>
            </a:rPr>
            <a:t>הסבר: כאשר קיים ערך</a:t>
          </a:r>
          <a:r>
            <a:rPr lang="he-IL" sz="1100" b="0" i="0" u="none" strike="noStrike" baseline="0">
              <a:solidFill>
                <a:schemeClr val="dk1"/>
              </a:solidFill>
              <a:effectLst/>
              <a:latin typeface="+mn-lt"/>
              <a:ea typeface="+mn-ea"/>
              <a:cs typeface="+mn-cs"/>
            </a:rPr>
            <a:t> ספרים לנכס שהוא גבוה מבסיס המס שלו, וצפוי היפוך בעתיד, ההפרש הזמני נקרא חייב במס, והוא יוצר התחייבות למס נדחה. </a:t>
          </a:r>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fontAlgn="base"/>
          <a:endParaRPr lang="he-IL" sz="1100" b="0" i="0" u="none" strike="noStrike">
            <a:solidFill>
              <a:schemeClr val="dk1"/>
            </a:solidFill>
            <a:effectLst/>
            <a:latin typeface="+mn-lt"/>
            <a:ea typeface="+mn-ea"/>
            <a:cs typeface="+mn-cs"/>
          </a:endParaRPr>
        </a:p>
        <a:p>
          <a:pPr rtl="1"/>
          <a:br>
            <a:rPr lang="he-IL" b="1"/>
          </a:br>
          <a:r>
            <a:rPr lang="he-IL" sz="1100" b="1" i="0" u="none" strike="noStrike">
              <a:solidFill>
                <a:schemeClr val="dk1"/>
              </a:solidFill>
              <a:effectLst/>
              <a:latin typeface="+mn-lt"/>
              <a:ea typeface="+mn-ea"/>
              <a:cs typeface="+mn-cs"/>
            </a:rPr>
            <a:t>שאלה 9</a:t>
          </a:r>
        </a:p>
        <a:p>
          <a:pPr rtl="1"/>
          <a:r>
            <a:rPr lang="he-IL" sz="1100" b="0" i="0" u="none" strike="noStrike">
              <a:solidFill>
                <a:schemeClr val="dk1"/>
              </a:solidFill>
              <a:effectLst/>
              <a:latin typeface="+mn-lt"/>
              <a:ea typeface="+mn-ea"/>
              <a:cs typeface="+mn-cs"/>
            </a:rPr>
            <a:t>יתרת המלאי בחברה ליום 31 בדצמבר 2011 היא בסך 40,000 ש"ח, והיא נקבעה בהתאם לעלותו. יתרת המלאי באותה החברה ליום 31 בדצמבר 2012 היא בסך 80,000 ש"ח, ערך שנמוך ב-20,000 ש"ח מעלות המלאי, וזאת לאור יישום עקרון "עלות או שווי מימוש נטו". שיעור המס החל על החברה הנו 30% והוא צפוי להשאר קבוע בעתיד הנראה לעין. רשות המסים מכירה בערך המלאי על בסיס עלותו. קיים צפי להכנסה</a:t>
          </a:r>
          <a:r>
            <a:rPr lang="he-IL" sz="1100" b="0" i="0" u="none" strike="noStrike" baseline="0">
              <a:solidFill>
                <a:schemeClr val="dk1"/>
              </a:solidFill>
              <a:effectLst/>
              <a:latin typeface="+mn-lt"/>
              <a:ea typeface="+mn-ea"/>
              <a:cs typeface="+mn-cs"/>
            </a:rPr>
            <a:t> חייבת (זוהי אגב ברירת המחדל). </a:t>
          </a:r>
          <a:r>
            <a:rPr lang="he-IL" sz="1100" b="0" i="0" u="none" strike="noStrike">
              <a:solidFill>
                <a:schemeClr val="dk1"/>
              </a:solidFill>
              <a:effectLst/>
              <a:latin typeface="+mn-lt"/>
              <a:ea typeface="+mn-ea"/>
              <a:cs typeface="+mn-cs"/>
            </a:rPr>
            <a:t>לאור זאת, הוצאות / הכנסות המסים הנדחים בחברה לשנת 2012 תהיינה:</a:t>
          </a:r>
        </a:p>
        <a:p>
          <a:pPr rtl="1" fontAlgn="base"/>
          <a:r>
            <a:rPr lang="he-IL" sz="1100" b="0" i="0" u="none" strike="noStrike">
              <a:solidFill>
                <a:schemeClr val="dk1"/>
              </a:solidFill>
              <a:effectLst/>
              <a:latin typeface="+mn-lt"/>
              <a:ea typeface="+mn-ea"/>
              <a:cs typeface="+mn-cs"/>
            </a:rPr>
            <a:t>א. הכנסות מס נדחה בסך 6,000 ש"ח </a:t>
          </a:r>
        </a:p>
        <a:p>
          <a:pPr rtl="1" fontAlgn="base"/>
          <a:r>
            <a:rPr lang="he-IL" sz="1100" b="0" i="0" u="none" strike="noStrike">
              <a:solidFill>
                <a:schemeClr val="dk1"/>
              </a:solidFill>
              <a:effectLst/>
              <a:latin typeface="+mn-lt"/>
              <a:ea typeface="+mn-ea"/>
              <a:cs typeface="+mn-cs"/>
            </a:rPr>
            <a:t>ב. הוצאות מס נדחה בסך 6,000 ש"ח </a:t>
          </a:r>
        </a:p>
        <a:p>
          <a:pPr rtl="1" fontAlgn="base"/>
          <a:r>
            <a:rPr lang="he-IL" sz="1100" b="0" i="0" u="none" strike="noStrike">
              <a:solidFill>
                <a:schemeClr val="dk1"/>
              </a:solidFill>
              <a:effectLst/>
              <a:latin typeface="+mn-lt"/>
              <a:ea typeface="+mn-ea"/>
              <a:cs typeface="+mn-cs"/>
            </a:rPr>
            <a:t>ג. הכנסות מס נדחה בסך 12,000 ש"ח </a:t>
          </a:r>
        </a:p>
        <a:p>
          <a:pPr rtl="1" fontAlgn="base"/>
          <a:r>
            <a:rPr lang="he-IL" sz="1100" b="0" i="0" u="none" strike="noStrike">
              <a:solidFill>
                <a:schemeClr val="dk1"/>
              </a:solidFill>
              <a:effectLst/>
              <a:latin typeface="+mn-lt"/>
              <a:ea typeface="+mn-ea"/>
              <a:cs typeface="+mn-cs"/>
            </a:rPr>
            <a:t>ד. הוצאות מס נדחה בסך 12,000 ש"ח </a:t>
          </a:r>
        </a:p>
        <a:p>
          <a:pPr rtl="1"/>
          <a:r>
            <a:rPr lang="he-IL" sz="1100" b="0" i="0" u="none" strike="noStrike">
              <a:solidFill>
                <a:schemeClr val="dk1"/>
              </a:solidFill>
              <a:effectLst/>
              <a:latin typeface="+mn-lt"/>
              <a:ea typeface="+mn-ea"/>
              <a:cs typeface="+mn-cs"/>
            </a:rPr>
            <a:t>ה. אין אף תשובה נכונה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התשובה הנכונה: א. </a:t>
          </a:r>
        </a:p>
        <a:p>
          <a:pPr rtl="1"/>
          <a:r>
            <a:rPr lang="he-IL" sz="1100" b="0" i="0" u="none" strike="noStrike">
              <a:solidFill>
                <a:schemeClr val="dk1"/>
              </a:solidFill>
              <a:effectLst/>
              <a:latin typeface="+mn-lt"/>
              <a:ea typeface="+mn-ea"/>
              <a:cs typeface="+mn-cs"/>
            </a:rPr>
            <a:t>הסבר:</a:t>
          </a:r>
        </a:p>
        <a:p>
          <a:pPr rtl="1"/>
          <a:r>
            <a:rPr lang="he-IL" sz="1100" b="0" i="0" u="none" strike="noStrike">
              <a:solidFill>
                <a:schemeClr val="dk1"/>
              </a:solidFill>
              <a:effectLst/>
              <a:latin typeface="+mn-lt"/>
              <a:ea typeface="+mn-ea"/>
              <a:cs typeface="+mn-cs"/>
            </a:rPr>
            <a:t>לתום</a:t>
          </a:r>
          <a:r>
            <a:rPr lang="he-IL" sz="1100" b="0" i="0" u="none" strike="noStrike" baseline="0">
              <a:solidFill>
                <a:schemeClr val="dk1"/>
              </a:solidFill>
              <a:effectLst/>
              <a:latin typeface="+mn-lt"/>
              <a:ea typeface="+mn-ea"/>
              <a:cs typeface="+mn-cs"/>
            </a:rPr>
            <a:t> 2011, רשות המסים והחשבונאות רואות עין בעין, כי המדידה לפי עלות שהיא 40,000</a:t>
          </a:r>
        </a:p>
        <a:p>
          <a:pPr rtl="1"/>
          <a:r>
            <a:rPr lang="he-IL" sz="1100" b="0" i="0" u="none" strike="noStrike" baseline="0">
              <a:solidFill>
                <a:schemeClr val="dk1"/>
              </a:solidFill>
              <a:effectLst/>
              <a:latin typeface="+mn-lt"/>
              <a:ea typeface="+mn-ea"/>
              <a:cs typeface="+mn-cs"/>
            </a:rPr>
            <a:t>לתום 2012, החשבונאות מודדת לפי שווי מימוש נטו קרי 80,000, והעלות שגבוהה ב-20,000 היא 100,000</a:t>
          </a:r>
        </a:p>
        <a:p>
          <a:pPr rtl="1"/>
          <a:endParaRPr lang="he-IL" sz="1100" b="0" i="0" u="none" strike="noStrike" baseline="0">
            <a:solidFill>
              <a:schemeClr val="dk1"/>
            </a:solidFill>
            <a:effectLst/>
            <a:latin typeface="+mn-lt"/>
            <a:ea typeface="+mn-ea"/>
            <a:cs typeface="+mn-cs"/>
          </a:endParaRPr>
        </a:p>
        <a:p>
          <a:pPr rtl="1"/>
          <a:r>
            <a:rPr lang="he-IL" sz="1100" b="0" i="0" u="none" strike="noStrike" baseline="0">
              <a:solidFill>
                <a:schemeClr val="dk1"/>
              </a:solidFill>
              <a:effectLst/>
              <a:latin typeface="+mn-lt"/>
              <a:ea typeface="+mn-ea"/>
              <a:cs typeface="+mn-cs"/>
            </a:rPr>
            <a:t>כפי שאפשר לראות בתחשיב בצד, נוצר נכס מס נדחה בסך 6,000, והתנועה החיובית (העלייה) בנכסי מסים נדחים מובילה להכרה בהכנסות מס נדחה בסכום זה. </a:t>
          </a: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en-US" sz="1100"/>
        </a:p>
      </xdr:txBody>
    </xdr:sp>
    <xdr:clientData/>
  </xdr:twoCellAnchor>
  <xdr:twoCellAnchor>
    <xdr:from>
      <xdr:col>4</xdr:col>
      <xdr:colOff>647700</xdr:colOff>
      <xdr:row>100</xdr:row>
      <xdr:rowOff>111125</xdr:rowOff>
    </xdr:from>
    <xdr:to>
      <xdr:col>5</xdr:col>
      <xdr:colOff>809625</xdr:colOff>
      <xdr:row>100</xdr:row>
      <xdr:rowOff>120650</xdr:rowOff>
    </xdr:to>
    <xdr:cxnSp macro="">
      <xdr:nvCxnSpPr>
        <xdr:cNvPr id="9" name="Straight Arrow Connector 8">
          <a:extLst>
            <a:ext uri="{FF2B5EF4-FFF2-40B4-BE49-F238E27FC236}">
              <a16:creationId xmlns:a16="http://schemas.microsoft.com/office/drawing/2014/main" id="{487538C3-2FC6-C4B3-9E78-9EE8FF5EE735}"/>
            </a:ext>
          </a:extLst>
        </xdr:cNvPr>
        <xdr:cNvCxnSpPr/>
      </xdr:nvCxnSpPr>
      <xdr:spPr>
        <a:xfrm flipV="1">
          <a:off x="13520054875" y="20481925"/>
          <a:ext cx="987425" cy="952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546100</xdr:colOff>
      <xdr:row>99</xdr:row>
      <xdr:rowOff>163512</xdr:rowOff>
    </xdr:from>
    <xdr:ext cx="126376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9D18631-09AA-7755-22E3-C9AF1D12AB22}"/>
                </a:ext>
              </a:extLst>
            </xdr:cNvPr>
            <xdr:cNvSpPr txBox="1"/>
          </xdr:nvSpPr>
          <xdr:spPr>
            <a:xfrm>
              <a:off x="13519880132" y="203311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7</xdr:col>
      <xdr:colOff>422275</xdr:colOff>
      <xdr:row>163</xdr:row>
      <xdr:rowOff>92074</xdr:rowOff>
    </xdr:from>
    <xdr:to>
      <xdr:col>9</xdr:col>
      <xdr:colOff>127000</xdr:colOff>
      <xdr:row>177</xdr:row>
      <xdr:rowOff>31749</xdr:rowOff>
    </xdr:to>
    <xdr:sp macro="" textlink="">
      <xdr:nvSpPr>
        <xdr:cNvPr id="14" name="Rectangle 13">
          <a:extLst>
            <a:ext uri="{FF2B5EF4-FFF2-40B4-BE49-F238E27FC236}">
              <a16:creationId xmlns:a16="http://schemas.microsoft.com/office/drawing/2014/main" id="{7B1736C6-DD0A-E97C-3236-EC2D141C936F}"/>
            </a:ext>
          </a:extLst>
        </xdr:cNvPr>
        <xdr:cNvSpPr/>
      </xdr:nvSpPr>
      <xdr:spPr>
        <a:xfrm>
          <a:off x="13517435500" y="33264474"/>
          <a:ext cx="1355725" cy="28098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עד</a:t>
          </a:r>
          <a:r>
            <a:rPr lang="he-IL" sz="1100" baseline="0"/>
            <a:t> וכולל תום 2012 שיעור המס התקף היה 40%, ולא היה צפוי להשתנות. </a:t>
          </a:r>
        </a:p>
        <a:p>
          <a:pPr algn="r" rtl="1"/>
          <a:r>
            <a:rPr lang="he-IL" sz="1100" baseline="0"/>
            <a:t>ב-2013 בוצעה חקיקה ששינתה את שיעור המס ל-35% וכן קבעה ששיעורי המס ב-2014 וב-2015 ירדו ב-2% כל שנה,  ואז יישארו קבועים</a:t>
          </a:r>
          <a:endParaRPr lang="en-US" sz="1100"/>
        </a:p>
      </xdr:txBody>
    </xdr:sp>
    <xdr:clientData/>
  </xdr:twoCellAnchor>
  <xdr:twoCellAnchor>
    <xdr:from>
      <xdr:col>4</xdr:col>
      <xdr:colOff>763333</xdr:colOff>
      <xdr:row>172</xdr:row>
      <xdr:rowOff>113334</xdr:rowOff>
    </xdr:from>
    <xdr:to>
      <xdr:col>5</xdr:col>
      <xdr:colOff>813334</xdr:colOff>
      <xdr:row>172</xdr:row>
      <xdr:rowOff>120000</xdr:rowOff>
    </xdr:to>
    <xdr:cxnSp macro="">
      <xdr:nvCxnSpPr>
        <xdr:cNvPr id="16" name="Straight Arrow Connector 15">
          <a:extLst>
            <a:ext uri="{FF2B5EF4-FFF2-40B4-BE49-F238E27FC236}">
              <a16:creationId xmlns:a16="http://schemas.microsoft.com/office/drawing/2014/main" id="{B2322571-E6CB-6C81-B1E3-452C81E7844A}"/>
            </a:ext>
          </a:extLst>
        </xdr:cNvPr>
        <xdr:cNvCxnSpPr/>
      </xdr:nvCxnSpPr>
      <xdr:spPr>
        <a:xfrm flipV="1">
          <a:off x="13539160000" y="35166667"/>
          <a:ext cx="876667" cy="6666"/>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553333</xdr:colOff>
      <xdr:row>171</xdr:row>
      <xdr:rowOff>147800</xdr:rowOff>
    </xdr:from>
    <xdr:ext cx="130466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4B00816-9E4C-87C2-200B-6624F6AAF352}"/>
                </a:ext>
              </a:extLst>
            </xdr:cNvPr>
            <xdr:cNvSpPr txBox="1"/>
          </xdr:nvSpPr>
          <xdr:spPr>
            <a:xfrm>
              <a:off x="13538941999" y="34997800"/>
              <a:ext cx="1304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100,000</a:t>
              </a:r>
              <a:endParaRPr lang="en-US" sz="1100"/>
            </a:p>
          </xdr:txBody>
        </xdr:sp>
      </mc:Fallback>
    </mc:AlternateContent>
    <xdr:clientData/>
  </xdr:oneCellAnchor>
  <xdr:twoCellAnchor>
    <xdr:from>
      <xdr:col>3</xdr:col>
      <xdr:colOff>753334</xdr:colOff>
      <xdr:row>227</xdr:row>
      <xdr:rowOff>133334</xdr:rowOff>
    </xdr:from>
    <xdr:to>
      <xdr:col>4</xdr:col>
      <xdr:colOff>803333</xdr:colOff>
      <xdr:row>227</xdr:row>
      <xdr:rowOff>143334</xdr:rowOff>
    </xdr:to>
    <xdr:cxnSp macro="">
      <xdr:nvCxnSpPr>
        <xdr:cNvPr id="19" name="Straight Arrow Connector 18">
          <a:extLst>
            <a:ext uri="{FF2B5EF4-FFF2-40B4-BE49-F238E27FC236}">
              <a16:creationId xmlns:a16="http://schemas.microsoft.com/office/drawing/2014/main" id="{0ED2045C-9B5D-B919-6F36-5A608DACA834}"/>
            </a:ext>
          </a:extLst>
        </xdr:cNvPr>
        <xdr:cNvCxnSpPr/>
      </xdr:nvCxnSpPr>
      <xdr:spPr>
        <a:xfrm flipH="1" flipV="1">
          <a:off x="13539996667" y="46396667"/>
          <a:ext cx="876666" cy="100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606669</xdr:colOff>
      <xdr:row>226</xdr:row>
      <xdr:rowOff>137801</xdr:rowOff>
    </xdr:from>
    <xdr:ext cx="1168001"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D7F83388-84FA-A290-6298-996CE986EB93}"/>
                </a:ext>
              </a:extLst>
            </xdr:cNvPr>
            <xdr:cNvSpPr txBox="1"/>
          </xdr:nvSpPr>
          <xdr:spPr>
            <a:xfrm>
              <a:off x="13539851997" y="4619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oneCellAnchor>
    <xdr:from>
      <xdr:col>7</xdr:col>
      <xdr:colOff>73335</xdr:colOff>
      <xdr:row>224</xdr:row>
      <xdr:rowOff>124468</xdr:rowOff>
    </xdr:from>
    <xdr:ext cx="1168001"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(228,000)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24B660E-0584-F820-403D-49901A04DE58}"/>
                </a:ext>
              </a:extLst>
            </xdr:cNvPr>
            <xdr:cNvSpPr txBox="1"/>
          </xdr:nvSpPr>
          <xdr:spPr>
            <a:xfrm>
              <a:off x="13537078664" y="45777801"/>
              <a:ext cx="11680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(228,000)</a:t>
              </a:r>
              <a:endParaRPr lang="en-US" sz="1100"/>
            </a:p>
          </xdr:txBody>
        </xdr:sp>
      </mc:Fallback>
    </mc:AlternateContent>
    <xdr:clientData/>
  </xdr:oneCellAnchor>
  <xdr:twoCellAnchor>
    <xdr:from>
      <xdr:col>7</xdr:col>
      <xdr:colOff>113333</xdr:colOff>
      <xdr:row>225</xdr:row>
      <xdr:rowOff>136666</xdr:rowOff>
    </xdr:from>
    <xdr:to>
      <xdr:col>7</xdr:col>
      <xdr:colOff>453333</xdr:colOff>
      <xdr:row>227</xdr:row>
      <xdr:rowOff>103334</xdr:rowOff>
    </xdr:to>
    <xdr:cxnSp macro="">
      <xdr:nvCxnSpPr>
        <xdr:cNvPr id="23" name="Straight Arrow Connector 22">
          <a:extLst>
            <a:ext uri="{FF2B5EF4-FFF2-40B4-BE49-F238E27FC236}">
              <a16:creationId xmlns:a16="http://schemas.microsoft.com/office/drawing/2014/main" id="{907F33E8-7BE2-7405-7BCE-D7383561B252}"/>
            </a:ext>
          </a:extLst>
        </xdr:cNvPr>
        <xdr:cNvCxnSpPr/>
      </xdr:nvCxnSpPr>
      <xdr:spPr>
        <a:xfrm>
          <a:off x="13537866667" y="45993333"/>
          <a:ext cx="340000" cy="3733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33334</xdr:colOff>
      <xdr:row>225</xdr:row>
      <xdr:rowOff>136666</xdr:rowOff>
    </xdr:from>
    <xdr:to>
      <xdr:col>8</xdr:col>
      <xdr:colOff>473334</xdr:colOff>
      <xdr:row>227</xdr:row>
      <xdr:rowOff>140000</xdr:rowOff>
    </xdr:to>
    <xdr:cxnSp macro="">
      <xdr:nvCxnSpPr>
        <xdr:cNvPr id="24" name="Straight Arrow Connector 23">
          <a:extLst>
            <a:ext uri="{FF2B5EF4-FFF2-40B4-BE49-F238E27FC236}">
              <a16:creationId xmlns:a16="http://schemas.microsoft.com/office/drawing/2014/main" id="{E4F6E840-B59D-F017-FBBC-963464656188}"/>
            </a:ext>
          </a:extLst>
        </xdr:cNvPr>
        <xdr:cNvCxnSpPr/>
      </xdr:nvCxnSpPr>
      <xdr:spPr>
        <a:xfrm flipH="1">
          <a:off x="13537020000" y="45993333"/>
          <a:ext cx="440000" cy="410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648017</xdr:colOff>
      <xdr:row>259</xdr:row>
      <xdr:rowOff>196849</xdr:rowOff>
    </xdr:from>
    <xdr:to>
      <xdr:col>4</xdr:col>
      <xdr:colOff>196850</xdr:colOff>
      <xdr:row>261</xdr:row>
      <xdr:rowOff>193674</xdr:rowOff>
    </xdr:to>
    <xdr:pic>
      <xdr:nvPicPr>
        <xdr:cNvPr id="26" name="Picture 25">
          <a:extLst>
            <a:ext uri="{FF2B5EF4-FFF2-40B4-BE49-F238E27FC236}">
              <a16:creationId xmlns:a16="http://schemas.microsoft.com/office/drawing/2014/main" id="{39EAABF5-3C63-D2FA-7FBB-3B6E57F68FBC}"/>
            </a:ext>
          </a:extLst>
        </xdr:cNvPr>
        <xdr:cNvPicPr>
          <a:picLocks noChangeAspect="1"/>
        </xdr:cNvPicPr>
      </xdr:nvPicPr>
      <xdr:blipFill>
        <a:blip xmlns:r="http://schemas.openxmlformats.org/officeDocument/2006/relationships" r:embed="rId1"/>
        <a:stretch>
          <a:fillRect/>
        </a:stretch>
      </xdr:blipFill>
      <xdr:spPr>
        <a:xfrm>
          <a:off x="13521493150" y="52952649"/>
          <a:ext cx="374333" cy="415925"/>
        </a:xfrm>
        <a:prstGeom prst="rect">
          <a:avLst/>
        </a:prstGeom>
      </xdr:spPr>
    </xdr:pic>
    <xdr:clientData/>
  </xdr:twoCellAnchor>
  <xdr:twoCellAnchor>
    <xdr:from>
      <xdr:col>4</xdr:col>
      <xdr:colOff>9525</xdr:colOff>
      <xdr:row>254</xdr:row>
      <xdr:rowOff>174625</xdr:rowOff>
    </xdr:from>
    <xdr:to>
      <xdr:col>4</xdr:col>
      <xdr:colOff>787400</xdr:colOff>
      <xdr:row>254</xdr:row>
      <xdr:rowOff>187325</xdr:rowOff>
    </xdr:to>
    <xdr:cxnSp macro="">
      <xdr:nvCxnSpPr>
        <xdr:cNvPr id="28" name="Straight Arrow Connector 27">
          <a:extLst>
            <a:ext uri="{FF2B5EF4-FFF2-40B4-BE49-F238E27FC236}">
              <a16:creationId xmlns:a16="http://schemas.microsoft.com/office/drawing/2014/main" id="{102B6E91-1D7B-23EA-589D-4F8D1BF68374}"/>
            </a:ext>
          </a:extLst>
        </xdr:cNvPr>
        <xdr:cNvCxnSpPr/>
      </xdr:nvCxnSpPr>
      <xdr:spPr>
        <a:xfrm>
          <a:off x="13520902600" y="51914425"/>
          <a:ext cx="777875" cy="127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19050</xdr:colOff>
      <xdr:row>253</xdr:row>
      <xdr:rowOff>173037</xdr:rowOff>
    </xdr:from>
    <xdr:ext cx="800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(150,000)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EB258A7D-1DDD-49B0-A341-226406525064}"/>
                </a:ext>
              </a:extLst>
            </xdr:cNvPr>
            <xdr:cNvSpPr txBox="1"/>
          </xdr:nvSpPr>
          <xdr:spPr>
            <a:xfrm>
              <a:off x="13520870732" y="51709637"/>
              <a:ext cx="800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(150,000)</a:t>
              </a:r>
              <a:endParaRPr lang="en-US" sz="1100"/>
            </a:p>
          </xdr:txBody>
        </xdr:sp>
      </mc:Fallback>
    </mc:AlternateContent>
    <xdr:clientData/>
  </xdr:oneCellAnchor>
  <xdr:twoCellAnchor>
    <xdr:from>
      <xdr:col>4</xdr:col>
      <xdr:colOff>806450</xdr:colOff>
      <xdr:row>320</xdr:row>
      <xdr:rowOff>117475</xdr:rowOff>
    </xdr:from>
    <xdr:to>
      <xdr:col>6</xdr:col>
      <xdr:colOff>777875</xdr:colOff>
      <xdr:row>320</xdr:row>
      <xdr:rowOff>117475</xdr:rowOff>
    </xdr:to>
    <xdr:cxnSp macro="">
      <xdr:nvCxnSpPr>
        <xdr:cNvPr id="31" name="Straight Arrow Connector 30">
          <a:extLst>
            <a:ext uri="{FF2B5EF4-FFF2-40B4-BE49-F238E27FC236}">
              <a16:creationId xmlns:a16="http://schemas.microsoft.com/office/drawing/2014/main" id="{0EAB9922-19E5-6B3D-1763-C7DE0708987D}"/>
            </a:ext>
          </a:extLst>
        </xdr:cNvPr>
        <xdr:cNvCxnSpPr/>
      </xdr:nvCxnSpPr>
      <xdr:spPr>
        <a:xfrm flipH="1">
          <a:off x="13519261125" y="65319275"/>
          <a:ext cx="1622425"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692150</xdr:colOff>
      <xdr:row>319</xdr:row>
      <xdr:rowOff>87312</xdr:rowOff>
    </xdr:from>
    <xdr:ext cx="191146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500,000</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C780E7B9-E1A6-E46C-92E4-6B6A749607AF}"/>
                </a:ext>
              </a:extLst>
            </xdr:cNvPr>
            <xdr:cNvSpPr txBox="1"/>
          </xdr:nvSpPr>
          <xdr:spPr>
            <a:xfrm>
              <a:off x="13519086382" y="65085912"/>
              <a:ext cx="1911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500,000</a:t>
              </a:r>
              <a:endParaRPr lang="en-US" sz="1100"/>
            </a:p>
          </xdr:txBody>
        </xdr:sp>
      </mc:Fallback>
    </mc:AlternateContent>
    <xdr:clientData/>
  </xdr:oneCellAnchor>
  <xdr:twoCellAnchor>
    <xdr:from>
      <xdr:col>4</xdr:col>
      <xdr:colOff>457200</xdr:colOff>
      <xdr:row>353</xdr:row>
      <xdr:rowOff>117475</xdr:rowOff>
    </xdr:from>
    <xdr:to>
      <xdr:col>6</xdr:col>
      <xdr:colOff>723900</xdr:colOff>
      <xdr:row>353</xdr:row>
      <xdr:rowOff>117475</xdr:rowOff>
    </xdr:to>
    <xdr:cxnSp macro="">
      <xdr:nvCxnSpPr>
        <xdr:cNvPr id="34" name="Straight Arrow Connector 33">
          <a:extLst>
            <a:ext uri="{FF2B5EF4-FFF2-40B4-BE49-F238E27FC236}">
              <a16:creationId xmlns:a16="http://schemas.microsoft.com/office/drawing/2014/main" id="{B3A5FF48-44C1-CA45-4466-D0A87DF8A02C}"/>
            </a:ext>
          </a:extLst>
        </xdr:cNvPr>
        <xdr:cNvCxnSpPr/>
      </xdr:nvCxnSpPr>
      <xdr:spPr>
        <a:xfrm>
          <a:off x="13519315100" y="72050275"/>
          <a:ext cx="1917700" cy="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695325</xdr:colOff>
      <xdr:row>352</xdr:row>
      <xdr:rowOff>138112</xdr:rowOff>
    </xdr:from>
    <xdr:ext cx="1765418" cy="17303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FC3CDCF5-F4CB-97A9-B0C3-8B4D588E9E8E}"/>
                </a:ext>
              </a:extLst>
            </xdr:cNvPr>
            <xdr:cNvSpPr txBox="1"/>
          </xdr:nvSpPr>
          <xdr:spPr>
            <a:xfrm>
              <a:off x="13519229257" y="71867712"/>
              <a:ext cx="1765418" cy="1730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5</xdr:col>
      <xdr:colOff>137903</xdr:colOff>
      <xdr:row>406</xdr:row>
      <xdr:rowOff>44899</xdr:rowOff>
    </xdr:from>
    <xdr:to>
      <xdr:col>5</xdr:col>
      <xdr:colOff>243737</xdr:colOff>
      <xdr:row>407</xdr:row>
      <xdr:rowOff>54521</xdr:rowOff>
    </xdr:to>
    <xdr:sp macro="" textlink="">
      <xdr:nvSpPr>
        <xdr:cNvPr id="7" name="Down Arrow 6">
          <a:extLst>
            <a:ext uri="{FF2B5EF4-FFF2-40B4-BE49-F238E27FC236}">
              <a16:creationId xmlns:a16="http://schemas.microsoft.com/office/drawing/2014/main" id="{67DAE041-8075-A321-DE80-2C767D1FFA16}"/>
            </a:ext>
          </a:extLst>
        </xdr:cNvPr>
        <xdr:cNvSpPr/>
      </xdr:nvSpPr>
      <xdr:spPr>
        <a:xfrm>
          <a:off x="13499609318" y="82460202"/>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128281</xdr:colOff>
      <xdr:row>411</xdr:row>
      <xdr:rowOff>12829</xdr:rowOff>
    </xdr:from>
    <xdr:to>
      <xdr:col>5</xdr:col>
      <xdr:colOff>234115</xdr:colOff>
      <xdr:row>412</xdr:row>
      <xdr:rowOff>22450</xdr:rowOff>
    </xdr:to>
    <xdr:sp macro="" textlink="">
      <xdr:nvSpPr>
        <xdr:cNvPr id="15" name="Down Arrow 14">
          <a:extLst>
            <a:ext uri="{FF2B5EF4-FFF2-40B4-BE49-F238E27FC236}">
              <a16:creationId xmlns:a16="http://schemas.microsoft.com/office/drawing/2014/main" id="{6D226744-3DD4-C927-7BA8-507B6AE3EB42}"/>
            </a:ext>
          </a:extLst>
        </xdr:cNvPr>
        <xdr:cNvSpPr/>
      </xdr:nvSpPr>
      <xdr:spPr>
        <a:xfrm>
          <a:off x="13499618940" y="83438359"/>
          <a:ext cx="105834" cy="21166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19488</xdr:colOff>
      <xdr:row>510</xdr:row>
      <xdr:rowOff>113424</xdr:rowOff>
    </xdr:from>
    <xdr:to>
      <xdr:col>7</xdr:col>
      <xdr:colOff>349250</xdr:colOff>
      <xdr:row>594</xdr:row>
      <xdr:rowOff>19050</xdr:rowOff>
    </xdr:to>
    <xdr:sp macro="" textlink="">
      <xdr:nvSpPr>
        <xdr:cNvPr id="18" name="TextBox 17">
          <a:extLst>
            <a:ext uri="{FF2B5EF4-FFF2-40B4-BE49-F238E27FC236}">
              <a16:creationId xmlns:a16="http://schemas.microsoft.com/office/drawing/2014/main" id="{FC78141F-32BB-4040-B23E-53658BF4C312}"/>
            </a:ext>
          </a:extLst>
        </xdr:cNvPr>
        <xdr:cNvSpPr txBox="1"/>
      </xdr:nvSpPr>
      <xdr:spPr>
        <a:xfrm>
          <a:off x="13518864250" y="104494724"/>
          <a:ext cx="6108262" cy="202510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1</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"הצודקת"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מכונת חימום נקניקיות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1.1.2012 רכשה החברה מכונה לחימום נקניקיות לעובדי המשרד מחברת "בצר מערכות חימום נקניק" בע"מ. עלות המכונה הסתכמה ב-90,000 ש"ח ועלות הובלתה והתקנתה הסתכמה ב-10,000 ש"ח נוספים. החברה מיישמת את 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למדידת פריטי רכוש קבוע שבבעלותה ועושה כן בהתבסס על מודל העלות. אורך החיים השימושיים של המכונה מוערך נכון למועד רכישתה ב-20 שנים, תקופה הזהה לתקופת ההפחתה לצורך מס, ושיטת הפחת המיושמת היא הקו הישר. כמו כן, למכונה אין ערך שייר / גרט. בתאריך 1.1.2019 בעקבות שינוי בדפוס השימושים במכונה מעריכה החברה את </a:t>
          </a:r>
          <a:r>
            <a:rPr lang="he-IL" sz="1100" b="1" i="0" u="none" strike="noStrike">
              <a:solidFill>
                <a:schemeClr val="dk1"/>
              </a:solidFill>
              <a:effectLst/>
              <a:latin typeface="+mn-lt"/>
              <a:ea typeface="+mn-ea"/>
              <a:cs typeface="+mn-cs"/>
            </a:rPr>
            <a:t>יתרת</a:t>
          </a:r>
          <a:r>
            <a:rPr lang="he-IL" sz="1100" b="0" i="0" u="none" strike="noStrike">
              <a:solidFill>
                <a:schemeClr val="dk1"/>
              </a:solidFill>
              <a:effectLst/>
              <a:latin typeface="+mn-lt"/>
              <a:ea typeface="+mn-ea"/>
              <a:cs typeface="+mn-cs"/>
            </a:rPr>
            <a:t> אורך חיי המכונה מאותו המועד ב-4 שנים בלבד. רשות המסים איננה מאפשרת שינוי בסכום הוצאות הפחת המותרות בניכוי בהתבסס על שינויי אומדן - והיא מאפשרת הפחתת פריטים מסוג זה על פני 20 שנים ממועד רכישתם בלבד. </a:t>
          </a: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מבנה משרדים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מבנה משרדים בן 10 קומות בטבריה מהקבלן המבצע "לירנים" בע"מ, בעלות כוללת של 1,000,000 ש"ח. מתוך עלות כוללת זו, 25% מיוחסים לקרקע. החברה משתמשת ב-6 מתוך 10 הקומות באופן עצמי, עבור הנהלת החברה, כאשר היתרה איננה בשימושה ומיועדת להשכרה. החברה מיישמת לגבי פריטי רכוש קבוע המשתייכים לקבוצת המבנים והקרקעות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ומפחיתה אותם במשך 50 שנים. לגבי פריטי נדל"ן להשקעה החברה מיישמת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בדבר נדל"ן להשקעה. להלן נתונים בדבר השווי ההוגן של </a:t>
          </a:r>
          <a:r>
            <a:rPr lang="he-IL" sz="1100" b="1" i="0" u="none" strike="noStrike">
              <a:solidFill>
                <a:schemeClr val="dk1"/>
              </a:solidFill>
              <a:effectLst/>
              <a:latin typeface="+mn-lt"/>
              <a:ea typeface="+mn-ea"/>
              <a:cs typeface="+mn-cs"/>
            </a:rPr>
            <a:t>קומה אחת</a:t>
          </a:r>
          <a:r>
            <a:rPr lang="he-IL" sz="1100" b="0" i="0" u="none" strike="noStrike">
              <a:solidFill>
                <a:schemeClr val="dk1"/>
              </a:solidFill>
              <a:effectLst/>
              <a:latin typeface="+mn-lt"/>
              <a:ea typeface="+mn-ea"/>
              <a:cs typeface="+mn-cs"/>
            </a:rPr>
            <a:t> (כולל רכיב הקרקע היחסי המקושר אליה) למועדים שונים:</a:t>
          </a:r>
        </a:p>
        <a:p>
          <a:pPr rtl="1" fontAlgn="t"/>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תאריך.     </a:t>
          </a:r>
          <a:r>
            <a:rPr lang="he-IL" sz="1100" b="0" i="0" u="none" strike="noStrike" baseline="0">
              <a:solidFill>
                <a:schemeClr val="dk1"/>
              </a:solidFill>
              <a:effectLst/>
              <a:latin typeface="+mn-lt"/>
              <a:ea typeface="+mn-ea"/>
              <a:cs typeface="+mn-cs"/>
            </a:rPr>
            <a:t>        </a:t>
          </a:r>
          <a:r>
            <a:rPr lang="he-IL" sz="1100" b="0" i="0" u="none" strike="noStrike">
              <a:solidFill>
                <a:schemeClr val="dk1"/>
              </a:solidFill>
              <a:effectLst/>
              <a:latin typeface="+mn-lt"/>
              <a:ea typeface="+mn-ea"/>
              <a:cs typeface="+mn-cs"/>
            </a:rPr>
            <a:t>שווי</a:t>
          </a:r>
          <a:r>
            <a:rPr lang="he-IL" sz="1100" b="0" i="0" u="none" strike="noStrike" baseline="0">
              <a:solidFill>
                <a:schemeClr val="dk1"/>
              </a:solidFill>
              <a:effectLst/>
              <a:latin typeface="+mn-lt"/>
              <a:ea typeface="+mn-ea"/>
              <a:cs typeface="+mn-cs"/>
            </a:rPr>
            <a:t> בש״ח לקומה</a:t>
          </a:r>
          <a:endParaRPr lang="he-IL" sz="1100" b="0" i="0" u="none" strike="noStrike">
            <a:solidFill>
              <a:schemeClr val="dk1"/>
            </a:solidFill>
            <a:effectLst/>
            <a:latin typeface="+mn-lt"/>
            <a:ea typeface="+mn-ea"/>
            <a:cs typeface="+mn-cs"/>
          </a:endParaRPr>
        </a:p>
        <a:p>
          <a:pPr rtl="1" fontAlgn="t"/>
          <a:r>
            <a:rPr lang="he-IL" sz="1100" b="0" i="0" u="none" strike="noStrike">
              <a:solidFill>
                <a:schemeClr val="dk1"/>
              </a:solidFill>
              <a:effectLst/>
              <a:latin typeface="+mn-lt"/>
              <a:ea typeface="+mn-ea"/>
              <a:cs typeface="+mn-cs"/>
            </a:rPr>
            <a:t>1.1.2015         100,000 </a:t>
          </a:r>
        </a:p>
        <a:p>
          <a:pPr rtl="1" fontAlgn="t"/>
          <a:r>
            <a:rPr lang="he-IL" sz="1100" b="0" i="0" u="none" strike="noStrike">
              <a:solidFill>
                <a:schemeClr val="dk1"/>
              </a:solidFill>
              <a:effectLst/>
              <a:latin typeface="+mn-lt"/>
              <a:ea typeface="+mn-ea"/>
              <a:cs typeface="+mn-cs"/>
            </a:rPr>
            <a:t>31.12.2015     120,000 </a:t>
          </a:r>
        </a:p>
        <a:p>
          <a:pPr rtl="1" fontAlgn="t"/>
          <a:r>
            <a:rPr lang="he-IL" sz="1100" b="0" i="0" u="none" strike="noStrike">
              <a:solidFill>
                <a:schemeClr val="dk1"/>
              </a:solidFill>
              <a:effectLst/>
              <a:latin typeface="+mn-lt"/>
              <a:ea typeface="+mn-ea"/>
              <a:cs typeface="+mn-cs"/>
            </a:rPr>
            <a:t>31.12.2016     130,000</a:t>
          </a:r>
        </a:p>
        <a:p>
          <a:pPr rtl="1" fontAlgn="t"/>
          <a:r>
            <a:rPr lang="he-IL" sz="1100" b="0" i="0" u="none" strike="noStrike">
              <a:solidFill>
                <a:schemeClr val="dk1"/>
              </a:solidFill>
              <a:effectLst/>
              <a:latin typeface="+mn-lt"/>
              <a:ea typeface="+mn-ea"/>
              <a:cs typeface="+mn-cs"/>
            </a:rPr>
            <a:t>31.12.2017     140,000 </a:t>
          </a:r>
        </a:p>
        <a:p>
          <a:pPr rtl="1" fontAlgn="t"/>
          <a:r>
            <a:rPr lang="he-IL" sz="1100" b="0" i="0" u="none" strike="noStrike">
              <a:solidFill>
                <a:schemeClr val="dk1"/>
              </a:solidFill>
              <a:effectLst/>
              <a:latin typeface="+mn-lt"/>
              <a:ea typeface="+mn-ea"/>
              <a:cs typeface="+mn-cs"/>
            </a:rPr>
            <a:t>31.12.2018     135,000</a:t>
          </a:r>
        </a:p>
        <a:p>
          <a:pPr rtl="1" fontAlgn="t"/>
          <a:r>
            <a:rPr lang="he-IL" sz="1100" b="0" i="0" u="none" strike="noStrike">
              <a:solidFill>
                <a:schemeClr val="dk1"/>
              </a:solidFill>
              <a:effectLst/>
              <a:latin typeface="+mn-lt"/>
              <a:ea typeface="+mn-ea"/>
              <a:cs typeface="+mn-cs"/>
            </a:rPr>
            <a:t>31.12.2019     140,000</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 לצורכי מס, החלק המיוחס לעלות הקרקע הוא 30%, ותקופת ההפחתה היא 40 שנים. כמו כן, לצרכי מס, בסיס המדידה הוא העלות - לא קיימת הבחנה באופן הטיפול וההכרה בהכנסות / בהוצאות בין הרכיב המהווה רכוש קבוע לבין הרכיב המהווה נדל"ן להשקעה.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נכסים בלתי מוחשיים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מחלקת המחקר של החברה בראשותו של המדען הראשי יואבי עוסקת שנים ארוכות בניסיונות פיתוח של מוצרים חדשניים. במהלך שנת 2017 רשמה החברה הוצאות בגין פיתוח בסך 40,000 ש"ח שנזקפו כהוצאה בדוח רווח והפסד, ובמהלך שנת 2018 נוצרו בחברה עלויות פיתוח בסך 80,000 ש"ח כאשר 20,000 ש"ח מתוכם נרשמו כנכס בהתאם למבחנים הרלוונטיים שנקבעו ב - </a:t>
          </a:r>
          <a:r>
            <a:rPr lang="en-US" sz="1100" b="0" i="0" u="none" strike="noStrike">
              <a:solidFill>
                <a:schemeClr val="dk1"/>
              </a:solidFill>
              <a:effectLst/>
              <a:latin typeface="+mn-lt"/>
              <a:ea typeface="+mn-ea"/>
              <a:cs typeface="+mn-cs"/>
            </a:rPr>
            <a:t>IAS 38 </a:t>
          </a:r>
          <a:r>
            <a:rPr lang="he-IL" sz="1100" b="0" i="0" u="none" strike="noStrike">
              <a:solidFill>
                <a:schemeClr val="dk1"/>
              </a:solidFill>
              <a:effectLst/>
              <a:latin typeface="+mn-lt"/>
              <a:ea typeface="+mn-ea"/>
              <a:cs typeface="+mn-cs"/>
            </a:rPr>
            <a:t>לעניין נכסים בלתי מוחשיים. במהלך שנת 2019 נוצרו בחברה עלויות פיתוח נוספות שנזקפו לנכס בלתי מוחשי בסך 40,000 ש"ח. החברה צופה כי החל משנת 2020 תתחיל בהפחתת נכס המחקר והפיתוח על פני 3 שנים. רשות המסים מכירה במכלול עלויות הפיתוח כהוצאה שוטפת.</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4 -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ב-500,000 ש"ח. יתרת הלקוחות ברוטו בחברה ליום 31.12.2019 מסתכמת ב-600,000 ש"ח. שיעור ההלח"מ בחברה הנו קבוע ומהווה 8% מיתרת הלקוחות ברוטו המעודכנת. במהלך שנת 2019 נרשמו חובות אבודים בסכום של 22,000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מייעוץ</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העניקה החברה שירותי ייעוץ בסך 200,000 ש"ח. מחצית מתמורת הייעוץ התקבלה במזומן במהלך 2019 ואילו המחצית הנותרת טרם נתקבלה (צפויה להתקבל במהלך שנת 2020). לאור צו מיוחד של רשות המסים אשר פורסם במהלך שנת 2019, ממוסות הכנסות החברה מייעוץ על בסיס מזומן בלבד.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140,000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15,000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ל-40 לקוחות וספקים (בסך הכל 40 מתנות) כאשר מתוך זה, תיעדה את זהות מקבל המתנה ב-28 מקרים בלבד. מתוך 28 מקרים אלו, במחצית מהמקרים סכום המתנה היה 300 ש"ח ואילו במחצית הנותרת סכום המתנה היה 100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9 -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50,000 ש"ח. התרומות אינן מהוות הוצאה מותרת בניכוי אך מקנות זיכוי מס בשיעור 40% מסכום התרומה.</a:t>
          </a:r>
        </a:p>
        <a:p>
          <a:pPr rtl="1"/>
          <a:br>
            <a:rPr lang="he-IL" sz="1100" b="0" i="0" u="none" strike="noStrike">
              <a:solidFill>
                <a:schemeClr val="dk1"/>
              </a:solidFill>
              <a:effectLst/>
              <a:latin typeface="+mn-lt"/>
              <a:ea typeface="+mn-ea"/>
              <a:cs typeface="+mn-cs"/>
            </a:rPr>
          </a:br>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10 -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35,000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ב-700,000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נתונים בדבר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17</xdr:row>
      <xdr:rowOff>76195</xdr:rowOff>
    </xdr:from>
    <xdr:to>
      <xdr:col>5</xdr:col>
      <xdr:colOff>551793</xdr:colOff>
      <xdr:row>190</xdr:row>
      <xdr:rowOff>179551</xdr:rowOff>
    </xdr:to>
    <xdr:sp macro="" textlink="">
      <xdr:nvSpPr>
        <xdr:cNvPr id="6" name="TextBox 5">
          <a:extLst>
            <a:ext uri="{FF2B5EF4-FFF2-40B4-BE49-F238E27FC236}">
              <a16:creationId xmlns:a16="http://schemas.microsoft.com/office/drawing/2014/main" id="{107FE288-CF3F-BF6F-EC6F-E260C0EA6BE4}"/>
            </a:ext>
          </a:extLst>
        </xdr:cNvPr>
        <xdr:cNvSpPr txBox="1"/>
      </xdr:nvSpPr>
      <xdr:spPr>
        <a:xfrm>
          <a:off x="13556417931" y="25020747"/>
          <a:ext cx="4690240" cy="366049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i="0" u="none" strike="noStrike">
              <a:solidFill>
                <a:schemeClr val="dk1"/>
              </a:solidFill>
              <a:effectLst/>
              <a:latin typeface="+mn-lt"/>
              <a:ea typeface="+mn-ea"/>
              <a:cs typeface="+mn-cs"/>
            </a:rPr>
            <a:t>שאלה 2 </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חברת "אלחנדרו-מן" בע"מ (להלן: "</a:t>
          </a:r>
          <a:r>
            <a:rPr lang="he-IL" sz="1100" b="1" i="0" u="none" strike="noStrike">
              <a:solidFill>
                <a:schemeClr val="dk1"/>
              </a:solidFill>
              <a:effectLst/>
              <a:latin typeface="+mn-lt"/>
              <a:ea typeface="+mn-ea"/>
              <a:cs typeface="+mn-cs"/>
            </a:rPr>
            <a:t>החברה</a:t>
          </a:r>
          <a:r>
            <a:rPr lang="he-IL" sz="1100" b="0" i="0" u="none" strike="noStrike">
              <a:solidFill>
                <a:schemeClr val="dk1"/>
              </a:solidFill>
              <a:effectLst/>
              <a:latin typeface="+mn-lt"/>
              <a:ea typeface="+mn-ea"/>
              <a:cs typeface="+mn-cs"/>
            </a:rPr>
            <a:t>") היא חברה מסחרית העוסקת במגוון רחב של פעילויות עסקיות. החברה כפופה לכללי הדיווח הכספי הבינלאומיים (ה-</a:t>
          </a:r>
          <a:r>
            <a:rPr lang="en-US" sz="1100" b="0" i="0" u="none" strike="noStrike">
              <a:solidFill>
                <a:schemeClr val="dk1"/>
              </a:solidFill>
              <a:effectLst/>
              <a:latin typeface="+mn-lt"/>
              <a:ea typeface="+mn-ea"/>
              <a:cs typeface="+mn-cs"/>
            </a:rPr>
            <a:t>IFRS) </a:t>
          </a:r>
          <a:r>
            <a:rPr lang="he-IL" sz="1100" b="0" i="0" u="none" strike="noStrike">
              <a:solidFill>
                <a:schemeClr val="dk1"/>
              </a:solidFill>
              <a:effectLst/>
              <a:latin typeface="+mn-lt"/>
              <a:ea typeface="+mn-ea"/>
              <a:cs typeface="+mn-cs"/>
            </a:rPr>
            <a:t>ומיישמת את הנחיות תקן החשבונאות הבינלאומי מס' 12 (</a:t>
          </a:r>
          <a:r>
            <a:rPr lang="en-US" sz="1100" b="0" i="0" u="none" strike="noStrike">
              <a:solidFill>
                <a:schemeClr val="dk1"/>
              </a:solidFill>
              <a:effectLst/>
              <a:latin typeface="+mn-lt"/>
              <a:ea typeface="+mn-ea"/>
              <a:cs typeface="+mn-cs"/>
            </a:rPr>
            <a:t>IAS 12) </a:t>
          </a:r>
          <a:r>
            <a:rPr lang="he-IL" sz="1100" b="0" i="0" u="none" strike="noStrike">
              <a:solidFill>
                <a:schemeClr val="dk1"/>
              </a:solidFill>
              <a:effectLst/>
              <a:latin typeface="+mn-lt"/>
              <a:ea typeface="+mn-ea"/>
              <a:cs typeface="+mn-cs"/>
            </a:rPr>
            <a:t>בדבר מסים על ההכנסה. </a:t>
          </a:r>
        </a:p>
        <a:p>
          <a:pPr rtl="1"/>
          <a:br>
            <a:rPr lang="he-IL" sz="1100" b="0" i="0" u="none" strike="noStrike">
              <a:solidFill>
                <a:schemeClr val="dk1"/>
              </a:solidFill>
              <a:effectLst/>
              <a:latin typeface="+mn-lt"/>
              <a:ea typeface="+mn-ea"/>
              <a:cs typeface="+mn-cs"/>
            </a:rPr>
          </a:br>
          <a:r>
            <a:rPr lang="he-IL" sz="1100" b="0" i="0" u="none" strike="noStrike">
              <a:solidFill>
                <a:schemeClr val="dk1"/>
              </a:solidFill>
              <a:effectLst/>
              <a:latin typeface="+mn-lt"/>
              <a:ea typeface="+mn-ea"/>
              <a:cs typeface="+mn-cs"/>
            </a:rPr>
            <a:t>להלן נתונים בדבר עסקאות ואירועים שונים שהתרחשו בחברה:</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1 - הפרשה לאחריות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מכירה בהוצאות בגין אחריות בעבור מוצרים שהיא מוכרת, וזאת כנגד התחייבות הנכללת בחשבון "הפרשה לאחריות", וזאת על פי צפי סטטיסטי לתשלומים ו/או הוצאות אחרות בעבור המוצרים הנמכרים על ידי החברה. על פי רוב, מבוצע מימוש התשלומים והשיפויים בגין האחריות בשנה העוקבת למועד המכירה. ידוע כי יתרת ההפרשה לאחריות ליום 31.12.2018 הסתכמה ב-50,000 ש"ח, וכי יתרת ההפרשה לאחריות ליום 31.12.2019 הסתכמה ב-80,000 ש"ח. במהלך השנה בוצע מימוש אחריות (תשלום במזומן ללקוחות) בסכום של 45,000 ש"ח. רשות המסים מכירה בהוצאות בגין אחריות על בסיס מזומן בלבד. </a:t>
          </a:r>
        </a:p>
        <a:p>
          <a:pPr rtl="1"/>
          <a:r>
            <a:rPr lang="he-IL" sz="1100" b="0" i="0" u="none" strike="noStrike">
              <a:solidFill>
                <a:schemeClr val="dk1"/>
              </a:solidFill>
              <a:effectLst/>
              <a:latin typeface="+mn-lt"/>
              <a:ea typeface="+mn-ea"/>
              <a:cs typeface="+mn-cs"/>
            </a:rPr>
            <a:t>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2 - ריהוט</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ריהוט בעלות של 80,000 ש"ח. הריהוט מופחת על פני 10 שנים בשיטת הקו הישר ללא ערך שייר, הן חשבונאית והן לצורך מס. בתאריך 1.1.2015 לאור שינוי בדפוס השימושים בפריט החברה החלה להפחיתו מאותו המועד לפי יתרת אורך חיים של 6 שנים החל מאותו המועד ובכפוף לערך שייר בסך 5,000 ש"ח. לא חל שינוי בתקנות מס הכנסה המתייחסות לאופן שבו מדווחות לרשות המסים הוצאות הפחת בגין הפריט. החברה מודדת את פריטי הרכוש הקבוע שבבעלותה המשוייכים לקבוצת הריהוט לפי מודל העלות.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3 - קרקע בבנימינה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1.1.2014 רכשה החברה קרקע בבנימינה בעלות של 1,000,000 ש"ח. החברה לא קבעה לקרקע מטרה מסוימת ואיננה מבצעת בה שימוש עצמי. החברה מיישמת לגבי פריטי הנדל"ן להשקעה שבבעלותה את מודל השווי ההוגן בהתאם להנחיות </a:t>
          </a:r>
          <a:r>
            <a:rPr lang="en-US" sz="1100" b="0" i="0" u="none" strike="noStrike">
              <a:solidFill>
                <a:schemeClr val="dk1"/>
              </a:solidFill>
              <a:effectLst/>
              <a:latin typeface="+mn-lt"/>
              <a:ea typeface="+mn-ea"/>
              <a:cs typeface="+mn-cs"/>
            </a:rPr>
            <a:t>IAS 40. </a:t>
          </a:r>
          <a:r>
            <a:rPr lang="he-IL" sz="1100" b="0" i="0" u="none" strike="noStrike">
              <a:solidFill>
                <a:schemeClr val="dk1"/>
              </a:solidFill>
              <a:effectLst/>
              <a:latin typeface="+mn-lt"/>
              <a:ea typeface="+mn-ea"/>
              <a:cs typeface="+mn-cs"/>
            </a:rPr>
            <a:t>השווי ההוגן של פריט הנדל"ן להשקעה עלה ב-5% לשנה בכל אחת מהשנים 2014, 2015 ו-2016, וב-10% לשנה בכל אחת מהשנים 2017, 2018 ו-2019. רשות המסים איננה ממסה רווחים / הפסדים מעליית ערך נדל"ן להשקעה - אלא אך ורק במועד מימושם, כאשר הרווח / ההפסד מהמימוש יהיה כפוף למס חברות רגיל.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4 - מכונת ייצור </a:t>
          </a:r>
          <a:r>
            <a:rPr lang="he-IL" sz="1100" b="1" i="0" u="none" strike="noStrike">
              <a:solidFill>
                <a:srgbClr val="FF0000"/>
              </a:solidFill>
              <a:effectLst/>
              <a:latin typeface="+mn-lt"/>
              <a:ea typeface="+mn-ea"/>
              <a:cs typeface="+mn-cs"/>
            </a:rPr>
            <a:t>(שימו לב לא בחומר ב-2024א לכן התעלמתי בפתרון)</a:t>
          </a:r>
          <a:endParaRPr lang="he-IL" sz="1100" b="0" i="0" u="none" strike="noStrike">
            <a:solidFill>
              <a:srgbClr val="FF0000"/>
            </a:solidFill>
            <a:effectLst/>
            <a:latin typeface="+mn-lt"/>
            <a:ea typeface="+mn-ea"/>
            <a:cs typeface="+mn-cs"/>
          </a:endParaRPr>
        </a:p>
        <a:p>
          <a:pPr rtl="1"/>
          <a:r>
            <a:rPr lang="he-IL" sz="1100" b="0" i="0" u="none" strike="noStrike">
              <a:solidFill>
                <a:schemeClr val="dk1"/>
              </a:solidFill>
              <a:effectLst/>
              <a:latin typeface="+mn-lt"/>
              <a:ea typeface="+mn-ea"/>
              <a:cs typeface="+mn-cs"/>
            </a:rPr>
            <a:t>בתאריך 1.1.2015  רכשה החברה מכונת ייצור בעלות 300,000 ש"ח. המכונה מופחתת על פני 10 שנים בשיטת הקו הישר ללא ערך שייר. בתאריך 31.12.2018 התהוו סממנים חיצוניים שעשויים להעיד ירידת ערך של הפריט. נכון לאותו היום בוצע חישוב של השווי ההוגן בניכוי עלויות המכירה, שהנו בסך 120,000 ש"ח, ושווי השימוש נטו לאותו היום הסתכם ב-140,000 ש"ח. בתאריך 31.12.2019 בעקבות שינויים בדפוס הביקושים למוצרים המיוצרים על ידי המכונה בוטלה ירידת הערך לחלוטין. החברה מיישמת לגבי פריטי רכוש קבוע המשתייכים לקבוצת המכונות וציוד הייצור את מודל העלות בהתאם להנחיות </a:t>
          </a:r>
          <a:r>
            <a:rPr lang="en-US" sz="1100" b="0" i="0" u="none" strike="noStrike">
              <a:solidFill>
                <a:schemeClr val="dk1"/>
              </a:solidFill>
              <a:effectLst/>
              <a:latin typeface="+mn-lt"/>
              <a:ea typeface="+mn-ea"/>
              <a:cs typeface="+mn-cs"/>
            </a:rPr>
            <a:t>IAS 16 </a:t>
          </a:r>
          <a:r>
            <a:rPr lang="he-IL" sz="1100" b="0" i="0" u="none" strike="noStrike">
              <a:solidFill>
                <a:schemeClr val="dk1"/>
              </a:solidFill>
              <a:effectLst/>
              <a:latin typeface="+mn-lt"/>
              <a:ea typeface="+mn-ea"/>
              <a:cs typeface="+mn-cs"/>
            </a:rPr>
            <a:t>ואת הנחיות התקן </a:t>
          </a:r>
          <a:r>
            <a:rPr lang="en-US" sz="1100" b="0" i="0" u="none" strike="noStrike">
              <a:solidFill>
                <a:schemeClr val="dk1"/>
              </a:solidFill>
              <a:effectLst/>
              <a:latin typeface="+mn-lt"/>
              <a:ea typeface="+mn-ea"/>
              <a:cs typeface="+mn-cs"/>
            </a:rPr>
            <a:t>IAS 36 </a:t>
          </a:r>
          <a:r>
            <a:rPr lang="he-IL" sz="1100" b="0" i="0" u="none" strike="noStrike">
              <a:solidFill>
                <a:schemeClr val="dk1"/>
              </a:solidFill>
              <a:effectLst/>
              <a:latin typeface="+mn-lt"/>
              <a:ea typeface="+mn-ea"/>
              <a:cs typeface="+mn-cs"/>
            </a:rPr>
            <a:t>לעניין ירידת ערך נכסים ככל שרלוונטי. רשות המסים איננה מכירה ברווחים / הפסדים מעליית ערך / ירידת ערך. </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5 - הכנסות מראש / הכנסות לקבל</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החברה מספקת שירותי ייעוץ שההכנסות מהם מוכרות לצורך מס על בסיס מזומן בלבד. במהלך שנת 2018 סיפקה החברה לראשונה שירותי ייעוץ בשווי 400,000 ש"ח וגבתה תמורתם במהלך שנה זו סכום של 280,000 ש"ח. במהלך שנת 2019 סיפקה החברה שירותי ייעוץ נוספים בשווי 300,000 ש"ח. יתרת ההכנסות </a:t>
          </a:r>
          <a:r>
            <a:rPr lang="he-IL" sz="1100" b="1" i="0" u="none" strike="noStrike">
              <a:solidFill>
                <a:schemeClr val="dk1"/>
              </a:solidFill>
              <a:effectLst/>
              <a:latin typeface="+mn-lt"/>
              <a:ea typeface="+mn-ea"/>
              <a:cs typeface="+mn-cs"/>
            </a:rPr>
            <a:t>מראש</a:t>
          </a:r>
          <a:r>
            <a:rPr lang="he-IL" sz="1100" b="0" i="0" u="none" strike="noStrike">
              <a:solidFill>
                <a:schemeClr val="dk1"/>
              </a:solidFill>
              <a:effectLst/>
              <a:latin typeface="+mn-lt"/>
              <a:ea typeface="+mn-ea"/>
              <a:cs typeface="+mn-cs"/>
            </a:rPr>
            <a:t> בגין שירותי ייעוץ ליום 31.12.2019 מסתכמת ב-80,000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6 - הפרשה לחובות מסופקים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יתרת הלקוחות ברוטו בחברה (לפני ניכוי ההפרשה לחובות מסופקים) ליום 31.12.2018 מסתכמת ב-340,000 ש"ח. יתרת הלקוחות ברוטו בחברה ליום 31.12.2019 מסתכמת ב-395,000 ש"ח. שיעור ההלח"מ בחברה הנו קבוע ומהווה 5% מיתרת הלקוחות ברוטו המעודכנת. במהלך שנת 2019 נרשמו חובות אבודים בסכום של 30,000 ש"ח. רשות המסים מכירה בהוצאות בגין חובות אבודים אך איננה מתירה בניכוי מההכנסה החייבת הוצאות הפרשה לחובות מסופקים (הוצאות הלח"מ / הוצאות חומ"ס) - אלא במועד הפיכתם לחובות אבודים, כאמור. </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7 - הכנסה החייבת בשיעור מס שונה</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שנת 2019 ביצעה החברה עסקה מיוחדת החייבת בשיעור מס מופחת שהנו 20%. סך ההכנסה החייבת בעסקה זו: 80,000 ש"ח.</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8 - כיבודים</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נוצרו בחברה הוצאות כיבודים בסך 30,000 ש"ח. רשות המסים מתירה בניכוי רק 80% מהוצאה זו.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9 - מתנות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כמתנות ללקוחות ולספקים סכום כולל של 66,000 ש"ח. רשות המסים מתירה בניכוי מההכנסה החייבת מתנות בסכום שאיננו עולה על 200 ש"ח לשנה ללקוח / לספק, וזאת רק במצבים שבהם קיים בחברה תיעוד מפורש בדבר זהות מקבל המתנה. החברה העניקה במהלך השנה מתנות ל-100 לקוחות וספקים (בסך הכל 100 מתנות) כאשר מתוך זה, תיעדה את זהות מקבל המתנה ב-90 מקרים בלבד. מתוך 90 מקרים אלו, במחצית מהמקרים סכום המתנה היה 500ש"ח ואילו במחצית הנותרת סכום המתנה היה 100 ש"ח.</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10 - תרומות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תרמה החברה למוסדות מוכרים לפי סעיף 46 לפקודת מס הכנסה סכום כולל של 66,000 ש"ח. התרומות אינן מהוות הוצאה מותרת בניכוי אך מקנות זיכוי מס בשיעור 35% מסכום התרומה.</a:t>
          </a:r>
        </a:p>
        <a:p>
          <a:pPr rtl="1"/>
          <a:endParaRPr lang="he-IL" sz="1100" b="0" i="0" u="none" strike="noStrike">
            <a:solidFill>
              <a:schemeClr val="dk1"/>
            </a:solidFill>
            <a:effectLst/>
            <a:latin typeface="+mn-lt"/>
            <a:ea typeface="+mn-ea"/>
            <a:cs typeface="+mn-cs"/>
          </a:endParaRPr>
        </a:p>
        <a:p>
          <a:pPr rtl="1"/>
          <a:endParaRPr lang="he-IL" sz="1100" b="0" i="0" u="none" strike="noStrike">
            <a:solidFill>
              <a:schemeClr val="dk1"/>
            </a:solidFill>
            <a:effectLst/>
            <a:latin typeface="+mn-lt"/>
            <a:ea typeface="+mn-ea"/>
            <a:cs typeface="+mn-cs"/>
          </a:endParaRP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קנסות</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במהלך 2019 שילמה החברה קנסות בסכום כולל של 70,000 ש"ח. רשות המסים איננה מתירה הוצאות בגין קנסות בניכוי מההכנסה החייבת.</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נתון 11 - רווח</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הרווח החשבונאי של החברה לפני מס בשנת 2019 הסתכם ב-1,200,000 ש"ח. החברה צופה כי תמשיך להניב הכנסה חייבת בעתיד הנראה לעין. </a:t>
          </a:r>
        </a:p>
        <a:p>
          <a:pPr rtl="1"/>
          <a:br>
            <a:rPr lang="he-IL" sz="1100" b="0" i="0" u="none" strike="noStrike">
              <a:solidFill>
                <a:schemeClr val="dk1"/>
              </a:solidFill>
              <a:effectLst/>
              <a:latin typeface="+mn-lt"/>
              <a:ea typeface="+mn-ea"/>
              <a:cs typeface="+mn-cs"/>
            </a:rPr>
          </a:br>
          <a:endParaRPr lang="he-IL" sz="1100" b="0" i="0" u="none" strike="noStrike">
            <a:solidFill>
              <a:schemeClr val="dk1"/>
            </a:solidFill>
            <a:effectLst/>
            <a:latin typeface="+mn-lt"/>
            <a:ea typeface="+mn-ea"/>
            <a:cs typeface="+mn-cs"/>
          </a:endParaRPr>
        </a:p>
        <a:p>
          <a:pPr rtl="1"/>
          <a:r>
            <a:rPr lang="he-IL" sz="1100" b="1" i="0" u="none" strike="noStrike">
              <a:solidFill>
                <a:schemeClr val="dk1"/>
              </a:solidFill>
              <a:effectLst/>
              <a:latin typeface="+mn-lt"/>
              <a:ea typeface="+mn-ea"/>
              <a:cs typeface="+mn-cs"/>
            </a:rPr>
            <a:t>נתון 12 - שיעורי המס:</a:t>
          </a:r>
          <a:endParaRPr lang="he-IL" sz="1100" b="0" i="0" u="none" strike="noStrike">
            <a:solidFill>
              <a:schemeClr val="dk1"/>
            </a:solidFill>
            <a:effectLst/>
            <a:latin typeface="+mn-lt"/>
            <a:ea typeface="+mn-ea"/>
            <a:cs typeface="+mn-cs"/>
          </a:endParaRPr>
        </a:p>
        <a:p>
          <a:pPr rtl="1"/>
          <a:r>
            <a:rPr lang="he-IL" sz="1100" b="0" i="0" u="none" strike="noStrike">
              <a:solidFill>
                <a:schemeClr val="dk1"/>
              </a:solidFill>
              <a:effectLst/>
              <a:latin typeface="+mn-lt"/>
              <a:ea typeface="+mn-ea"/>
              <a:cs typeface="+mn-cs"/>
            </a:rPr>
            <a:t>עד ליום 31.12.2018 היתה החברה כפופה למס חברות בשיעור אחיד של 35%. במהלך שנת 2019 הועברה בכנסת בקריאה שניה ושלישית חקיקה להגדלת שיעור המס בעקבות גירעון בתקציב הממשלה הנובע מבחירות חוזרות ונשנות. להלן השינוי ההדרגתי הצפוי בשיעורי המס:</a:t>
          </a:r>
        </a:p>
        <a:p>
          <a:pPr rtl="1"/>
          <a:r>
            <a:rPr lang="he-IL" sz="1100" b="0" i="0" u="none" strike="noStrike">
              <a:solidFill>
                <a:schemeClr val="dk1"/>
              </a:solidFill>
              <a:effectLst/>
              <a:latin typeface="+mn-lt"/>
              <a:ea typeface="+mn-ea"/>
              <a:cs typeface="+mn-cs"/>
            </a:rPr>
            <a:t>שנת 2019 - שיעור המס 35% (ללא שינוי).</a:t>
          </a:r>
        </a:p>
        <a:p>
          <a:pPr rtl="1"/>
          <a:r>
            <a:rPr lang="he-IL" sz="1100" b="0" i="0" u="none" strike="noStrike">
              <a:solidFill>
                <a:schemeClr val="dk1"/>
              </a:solidFill>
              <a:effectLst/>
              <a:latin typeface="+mn-lt"/>
              <a:ea typeface="+mn-ea"/>
              <a:cs typeface="+mn-cs"/>
            </a:rPr>
            <a:t>שנת 2020 - שיעור המס 37%.</a:t>
          </a:r>
        </a:p>
        <a:p>
          <a:pPr rtl="1"/>
          <a:r>
            <a:rPr lang="he-IL" sz="1100" b="0" i="0" u="none" strike="noStrike">
              <a:solidFill>
                <a:schemeClr val="dk1"/>
              </a:solidFill>
              <a:effectLst/>
              <a:latin typeface="+mn-lt"/>
              <a:ea typeface="+mn-ea"/>
              <a:cs typeface="+mn-cs"/>
            </a:rPr>
            <a:t>שנת 2021 ואילך - שיעור המס 39%.</a:t>
          </a:r>
        </a:p>
        <a:p>
          <a:pPr rtl="1"/>
          <a:br>
            <a:rPr lang="he-IL" sz="1100" b="0" i="0" u="none" strike="noStrike">
              <a:solidFill>
                <a:schemeClr val="dk1"/>
              </a:solidFill>
              <a:effectLst/>
              <a:latin typeface="+mn-lt"/>
              <a:ea typeface="+mn-ea"/>
              <a:cs typeface="+mn-cs"/>
            </a:rPr>
          </a:br>
          <a:r>
            <a:rPr lang="he-IL" sz="1100" b="1" i="0" u="none" strike="noStrike">
              <a:solidFill>
                <a:schemeClr val="dk1"/>
              </a:solidFill>
              <a:effectLst/>
              <a:latin typeface="+mn-lt"/>
              <a:ea typeface="+mn-ea"/>
              <a:cs typeface="+mn-cs"/>
            </a:rPr>
            <a:t>נדרש:</a:t>
          </a:r>
          <a:endParaRPr lang="he-IL" sz="1100" b="0" i="0" u="none" strike="noStrike">
            <a:solidFill>
              <a:schemeClr val="dk1"/>
            </a:solidFill>
            <a:effectLst/>
            <a:latin typeface="+mn-lt"/>
            <a:ea typeface="+mn-ea"/>
            <a:cs typeface="+mn-cs"/>
          </a:endParaRPr>
        </a:p>
        <a:p>
          <a:pPr rtl="1" fontAlgn="base"/>
          <a:r>
            <a:rPr lang="he-IL" sz="1100" b="1" i="0" u="none" strike="noStrike">
              <a:solidFill>
                <a:schemeClr val="dk1"/>
              </a:solidFill>
              <a:effectLst/>
              <a:latin typeface="+mn-lt"/>
              <a:ea typeface="+mn-ea"/>
              <a:cs typeface="+mn-cs"/>
            </a:rPr>
            <a:t>ערכו את דוח ההתאמה למס הכנסה וחשבו את סך חבות המסים השוטפים לשנת 2019. </a:t>
          </a:r>
        </a:p>
        <a:p>
          <a:pPr rtl="1" fontAlgn="base"/>
          <a:r>
            <a:rPr lang="he-IL" sz="1100" b="1" i="0" u="none" strike="noStrike">
              <a:solidFill>
                <a:schemeClr val="dk1"/>
              </a:solidFill>
              <a:effectLst/>
              <a:latin typeface="+mn-lt"/>
              <a:ea typeface="+mn-ea"/>
              <a:cs typeface="+mn-cs"/>
            </a:rPr>
            <a:t>הציגו את יתרות נכסי והתחייבויות המסים הנדחים לימים 31.12.2018 ו-31.12.2019 בהתאמה, וחשבו את סך התנועה במסים הנדחים.</a:t>
          </a:r>
        </a:p>
        <a:p>
          <a:pPr rtl="1" fontAlgn="base"/>
          <a:r>
            <a:rPr lang="he-IL" sz="1100" b="1" i="0" u="none" strike="noStrike">
              <a:solidFill>
                <a:schemeClr val="dk1"/>
              </a:solidFill>
              <a:effectLst/>
              <a:latin typeface="+mn-lt"/>
              <a:ea typeface="+mn-ea"/>
              <a:cs typeface="+mn-cs"/>
            </a:rPr>
            <a:t>מהן סך הוצאות המס שיופיעו בדוח רווח והפסד של החברה לשנה שנסתיימה ביום ה-31.12.2019?</a:t>
          </a:r>
        </a:p>
        <a:p>
          <a:br>
            <a:rPr lang="he-IL"/>
          </a:br>
          <a:br>
            <a:rPr lang="he-IL"/>
          </a:br>
          <a:endParaRPr lang="en-US" sz="1100"/>
        </a:p>
      </xdr:txBody>
    </xdr:sp>
    <xdr:clientData/>
  </xdr:twoCellAnchor>
  <xdr:twoCellAnchor>
    <xdr:from>
      <xdr:col>7</xdr:col>
      <xdr:colOff>459827</xdr:colOff>
      <xdr:row>139</xdr:row>
      <xdr:rowOff>21896</xdr:rowOff>
    </xdr:from>
    <xdr:to>
      <xdr:col>8</xdr:col>
      <xdr:colOff>91965</xdr:colOff>
      <xdr:row>141</xdr:row>
      <xdr:rowOff>8759</xdr:rowOff>
    </xdr:to>
    <xdr:cxnSp macro="">
      <xdr:nvCxnSpPr>
        <xdr:cNvPr id="3" name="Straight Arrow Connector 2">
          <a:extLst>
            <a:ext uri="{FF2B5EF4-FFF2-40B4-BE49-F238E27FC236}">
              <a16:creationId xmlns:a16="http://schemas.microsoft.com/office/drawing/2014/main" id="{C16ED1E7-E089-BD2E-FC96-58571287B26F}"/>
            </a:ext>
          </a:extLst>
        </xdr:cNvPr>
        <xdr:cNvCxnSpPr/>
      </xdr:nvCxnSpPr>
      <xdr:spPr>
        <a:xfrm>
          <a:off x="13554153828" y="51167862"/>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113862</xdr:colOff>
      <xdr:row>139</xdr:row>
      <xdr:rowOff>39413</xdr:rowOff>
    </xdr:from>
    <xdr:to>
      <xdr:col>8</xdr:col>
      <xdr:colOff>486104</xdr:colOff>
      <xdr:row>141</xdr:row>
      <xdr:rowOff>65690</xdr:rowOff>
    </xdr:to>
    <xdr:cxnSp macro="">
      <xdr:nvCxnSpPr>
        <xdr:cNvPr id="4" name="Straight Arrow Connector 3">
          <a:extLst>
            <a:ext uri="{FF2B5EF4-FFF2-40B4-BE49-F238E27FC236}">
              <a16:creationId xmlns:a16="http://schemas.microsoft.com/office/drawing/2014/main" id="{1F319AEC-35BB-A49E-E2D6-6C9457D807D8}"/>
            </a:ext>
          </a:extLst>
        </xdr:cNvPr>
        <xdr:cNvCxnSpPr/>
      </xdr:nvCxnSpPr>
      <xdr:spPr>
        <a:xfrm flipH="1">
          <a:off x="13553759689" y="51185379"/>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538655</xdr:colOff>
      <xdr:row>145</xdr:row>
      <xdr:rowOff>48172</xdr:rowOff>
    </xdr:from>
    <xdr:to>
      <xdr:col>7</xdr:col>
      <xdr:colOff>170792</xdr:colOff>
      <xdr:row>147</xdr:row>
      <xdr:rowOff>35034</xdr:rowOff>
    </xdr:to>
    <xdr:cxnSp macro="">
      <xdr:nvCxnSpPr>
        <xdr:cNvPr id="8" name="Straight Arrow Connector 7">
          <a:extLst>
            <a:ext uri="{FF2B5EF4-FFF2-40B4-BE49-F238E27FC236}">
              <a16:creationId xmlns:a16="http://schemas.microsoft.com/office/drawing/2014/main" id="{7018B906-110E-C562-F0F9-1F62D3B81D4A}"/>
            </a:ext>
          </a:extLst>
        </xdr:cNvPr>
        <xdr:cNvCxnSpPr/>
      </xdr:nvCxnSpPr>
      <xdr:spPr>
        <a:xfrm>
          <a:off x="13554902690" y="52402827"/>
          <a:ext cx="459827" cy="389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183930</xdr:colOff>
      <xdr:row>145</xdr:row>
      <xdr:rowOff>83207</xdr:rowOff>
    </xdr:from>
    <xdr:to>
      <xdr:col>7</xdr:col>
      <xdr:colOff>380999</xdr:colOff>
      <xdr:row>146</xdr:row>
      <xdr:rowOff>197069</xdr:rowOff>
    </xdr:to>
    <xdr:cxnSp macro="">
      <xdr:nvCxnSpPr>
        <xdr:cNvPr id="9" name="Straight Arrow Connector 8">
          <a:extLst>
            <a:ext uri="{FF2B5EF4-FFF2-40B4-BE49-F238E27FC236}">
              <a16:creationId xmlns:a16="http://schemas.microsoft.com/office/drawing/2014/main" id="{170209F5-2312-E90F-49B9-BDD29655F90E}"/>
            </a:ext>
          </a:extLst>
        </xdr:cNvPr>
        <xdr:cNvCxnSpPr/>
      </xdr:nvCxnSpPr>
      <xdr:spPr>
        <a:xfrm flipH="1">
          <a:off x="13554692483" y="52437862"/>
          <a:ext cx="197069" cy="3153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429171</xdr:colOff>
      <xdr:row>150</xdr:row>
      <xdr:rowOff>13137</xdr:rowOff>
    </xdr:from>
    <xdr:to>
      <xdr:col>7</xdr:col>
      <xdr:colOff>442310</xdr:colOff>
      <xdr:row>151</xdr:row>
      <xdr:rowOff>140138</xdr:rowOff>
    </xdr:to>
    <xdr:cxnSp macro="">
      <xdr:nvCxnSpPr>
        <xdr:cNvPr id="12" name="Straight Arrow Connector 11">
          <a:extLst>
            <a:ext uri="{FF2B5EF4-FFF2-40B4-BE49-F238E27FC236}">
              <a16:creationId xmlns:a16="http://schemas.microsoft.com/office/drawing/2014/main" id="{FB38E14B-A5A5-8B7F-2ECC-DBE7703C7887}"/>
            </a:ext>
          </a:extLst>
        </xdr:cNvPr>
        <xdr:cNvCxnSpPr/>
      </xdr:nvCxnSpPr>
      <xdr:spPr>
        <a:xfrm flipH="1">
          <a:off x="13554631172" y="53375034"/>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359102</xdr:colOff>
      <xdr:row>149</xdr:row>
      <xdr:rowOff>188310</xdr:rowOff>
    </xdr:from>
    <xdr:to>
      <xdr:col>6</xdr:col>
      <xdr:colOff>372241</xdr:colOff>
      <xdr:row>151</xdr:row>
      <xdr:rowOff>113862</xdr:rowOff>
    </xdr:to>
    <xdr:cxnSp macro="">
      <xdr:nvCxnSpPr>
        <xdr:cNvPr id="14" name="Straight Arrow Connector 13">
          <a:extLst>
            <a:ext uri="{FF2B5EF4-FFF2-40B4-BE49-F238E27FC236}">
              <a16:creationId xmlns:a16="http://schemas.microsoft.com/office/drawing/2014/main" id="{3F401312-145D-8105-0959-6EAC1748035A}"/>
            </a:ext>
          </a:extLst>
        </xdr:cNvPr>
        <xdr:cNvCxnSpPr/>
      </xdr:nvCxnSpPr>
      <xdr:spPr>
        <a:xfrm flipH="1">
          <a:off x="13555528931" y="5334875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324068</xdr:colOff>
      <xdr:row>156</xdr:row>
      <xdr:rowOff>43792</xdr:rowOff>
    </xdr:from>
    <xdr:to>
      <xdr:col>6</xdr:col>
      <xdr:colOff>337207</xdr:colOff>
      <xdr:row>157</xdr:row>
      <xdr:rowOff>170793</xdr:rowOff>
    </xdr:to>
    <xdr:cxnSp macro="">
      <xdr:nvCxnSpPr>
        <xdr:cNvPr id="15" name="Straight Arrow Connector 14">
          <a:extLst>
            <a:ext uri="{FF2B5EF4-FFF2-40B4-BE49-F238E27FC236}">
              <a16:creationId xmlns:a16="http://schemas.microsoft.com/office/drawing/2014/main" id="{4092A55B-08A2-E571-825B-DF273EE86457}"/>
            </a:ext>
          </a:extLst>
        </xdr:cNvPr>
        <xdr:cNvCxnSpPr/>
      </xdr:nvCxnSpPr>
      <xdr:spPr>
        <a:xfrm flipH="1">
          <a:off x="13555563965" y="54614378"/>
          <a:ext cx="13139" cy="328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578068</xdr:colOff>
      <xdr:row>145</xdr:row>
      <xdr:rowOff>197069</xdr:rowOff>
    </xdr:from>
    <xdr:to>
      <xdr:col>11</xdr:col>
      <xdr:colOff>122621</xdr:colOff>
      <xdr:row>148</xdr:row>
      <xdr:rowOff>21897</xdr:rowOff>
    </xdr:to>
    <xdr:cxnSp macro="">
      <xdr:nvCxnSpPr>
        <xdr:cNvPr id="16" name="Straight Arrow Connector 15">
          <a:extLst>
            <a:ext uri="{FF2B5EF4-FFF2-40B4-BE49-F238E27FC236}">
              <a16:creationId xmlns:a16="http://schemas.microsoft.com/office/drawing/2014/main" id="{926FAB46-254B-31AA-320A-8E0D5116C880}"/>
            </a:ext>
          </a:extLst>
        </xdr:cNvPr>
        <xdr:cNvCxnSpPr/>
      </xdr:nvCxnSpPr>
      <xdr:spPr>
        <a:xfrm flipH="1">
          <a:off x="13551640103" y="52551724"/>
          <a:ext cx="372242" cy="429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495300</xdr:colOff>
      <xdr:row>74</xdr:row>
      <xdr:rowOff>101600</xdr:rowOff>
    </xdr:from>
    <xdr:to>
      <xdr:col>6</xdr:col>
      <xdr:colOff>717550</xdr:colOff>
      <xdr:row>74</xdr:row>
      <xdr:rowOff>101600</xdr:rowOff>
    </xdr:to>
    <xdr:cxnSp macro="">
      <xdr:nvCxnSpPr>
        <xdr:cNvPr id="3" name="Straight Connector 2">
          <a:extLst>
            <a:ext uri="{FF2B5EF4-FFF2-40B4-BE49-F238E27FC236}">
              <a16:creationId xmlns:a16="http://schemas.microsoft.com/office/drawing/2014/main" id="{33E562BE-53F3-8805-2D23-AFB5A88E00EE}"/>
            </a:ext>
          </a:extLst>
        </xdr:cNvPr>
        <xdr:cNvCxnSpPr/>
      </xdr:nvCxnSpPr>
      <xdr:spPr>
        <a:xfrm flipH="1">
          <a:off x="13519321450" y="15138400"/>
          <a:ext cx="222250"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539750</xdr:colOff>
      <xdr:row>78</xdr:row>
      <xdr:rowOff>117475</xdr:rowOff>
    </xdr:from>
    <xdr:to>
      <xdr:col>6</xdr:col>
      <xdr:colOff>739775</xdr:colOff>
      <xdr:row>78</xdr:row>
      <xdr:rowOff>123825</xdr:rowOff>
    </xdr:to>
    <xdr:cxnSp macro="">
      <xdr:nvCxnSpPr>
        <xdr:cNvPr id="5" name="Straight Connector 4">
          <a:extLst>
            <a:ext uri="{FF2B5EF4-FFF2-40B4-BE49-F238E27FC236}">
              <a16:creationId xmlns:a16="http://schemas.microsoft.com/office/drawing/2014/main" id="{9FAC117A-EAFA-69B2-8FEC-263509286803}"/>
            </a:ext>
          </a:extLst>
        </xdr:cNvPr>
        <xdr:cNvCxnSpPr/>
      </xdr:nvCxnSpPr>
      <xdr:spPr>
        <a:xfrm flipH="1">
          <a:off x="13519299225" y="15967075"/>
          <a:ext cx="200025" cy="635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714375</xdr:colOff>
      <xdr:row>74</xdr:row>
      <xdr:rowOff>92075</xdr:rowOff>
    </xdr:from>
    <xdr:to>
      <xdr:col>6</xdr:col>
      <xdr:colOff>730250</xdr:colOff>
      <xdr:row>78</xdr:row>
      <xdr:rowOff>127000</xdr:rowOff>
    </xdr:to>
    <xdr:cxnSp macro="">
      <xdr:nvCxnSpPr>
        <xdr:cNvPr id="6" name="Straight Connector 5">
          <a:extLst>
            <a:ext uri="{FF2B5EF4-FFF2-40B4-BE49-F238E27FC236}">
              <a16:creationId xmlns:a16="http://schemas.microsoft.com/office/drawing/2014/main" id="{53BE83C0-2524-E72E-8041-953F2C79D27D}"/>
            </a:ext>
          </a:extLst>
        </xdr:cNvPr>
        <xdr:cNvCxnSpPr/>
      </xdr:nvCxnSpPr>
      <xdr:spPr>
        <a:xfrm flipH="1">
          <a:off x="13519308750" y="15128875"/>
          <a:ext cx="15875" cy="8477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725159</xdr:colOff>
      <xdr:row>73</xdr:row>
      <xdr:rowOff>62242</xdr:rowOff>
    </xdr:from>
    <xdr:ext cx="172227" cy="135584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30,000</m:t>
                    </m:r>
                  </m:oMath>
                </m:oMathPara>
              </a14:m>
              <a:endParaRPr lang="en-US" sz="1100">
                <a:solidFill>
                  <a:srgbClr val="00B050"/>
                </a:solidFill>
              </a:endParaRPr>
            </a:p>
          </xdr:txBody>
        </xdr:sp>
      </mc:Choice>
      <mc:Fallback xmlns="">
        <xdr:sp macro="" textlink="">
          <xdr:nvSpPr>
            <xdr:cNvPr id="11" name="TextBox 10">
              <a:extLst>
                <a:ext uri="{FF2B5EF4-FFF2-40B4-BE49-F238E27FC236}">
                  <a16:creationId xmlns:a16="http://schemas.microsoft.com/office/drawing/2014/main" id="{FD89F1BA-8AB4-7084-FCC4-6EF41F7A3B18}"/>
                </a:ext>
              </a:extLst>
            </xdr:cNvPr>
            <xdr:cNvSpPr txBox="1"/>
          </xdr:nvSpPr>
          <xdr:spPr>
            <a:xfrm rot="16200000">
              <a:off x="13518549806" y="15487650"/>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30,000</a:t>
              </a:r>
              <a:endParaRPr lang="en-US" sz="1100">
                <a:solidFill>
                  <a:srgbClr val="00B050"/>
                </a:solidFill>
              </a:endParaRPr>
            </a:p>
          </xdr:txBody>
        </xdr:sp>
      </mc:Fallback>
    </mc:AlternateContent>
    <xdr:clientData/>
  </xdr:oneCellAnchor>
  <xdr:twoCellAnchor>
    <xdr:from>
      <xdr:col>5</xdr:col>
      <xdr:colOff>777875</xdr:colOff>
      <xdr:row>78</xdr:row>
      <xdr:rowOff>120650</xdr:rowOff>
    </xdr:from>
    <xdr:to>
      <xdr:col>6</xdr:col>
      <xdr:colOff>41275</xdr:colOff>
      <xdr:row>78</xdr:row>
      <xdr:rowOff>123825</xdr:rowOff>
    </xdr:to>
    <xdr:cxnSp macro="">
      <xdr:nvCxnSpPr>
        <xdr:cNvPr id="12" name="Straight Connector 11">
          <a:extLst>
            <a:ext uri="{FF2B5EF4-FFF2-40B4-BE49-F238E27FC236}">
              <a16:creationId xmlns:a16="http://schemas.microsoft.com/office/drawing/2014/main" id="{DB908C5D-8419-E097-D58D-138B3F9A8C67}"/>
            </a:ext>
          </a:extLst>
        </xdr:cNvPr>
        <xdr:cNvCxnSpPr/>
      </xdr:nvCxnSpPr>
      <xdr:spPr>
        <a:xfrm flipH="1" flipV="1">
          <a:off x="13519997725" y="15970250"/>
          <a:ext cx="88900"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781050</xdr:colOff>
      <xdr:row>75</xdr:row>
      <xdr:rowOff>95250</xdr:rowOff>
    </xdr:from>
    <xdr:to>
      <xdr:col>5</xdr:col>
      <xdr:colOff>781050</xdr:colOff>
      <xdr:row>78</xdr:row>
      <xdr:rowOff>127000</xdr:rowOff>
    </xdr:to>
    <xdr:cxnSp macro="">
      <xdr:nvCxnSpPr>
        <xdr:cNvPr id="14" name="Straight Connector 13">
          <a:extLst>
            <a:ext uri="{FF2B5EF4-FFF2-40B4-BE49-F238E27FC236}">
              <a16:creationId xmlns:a16="http://schemas.microsoft.com/office/drawing/2014/main" id="{3F5C5F0C-8185-7778-6FF7-E1F32F6D00BF}"/>
            </a:ext>
          </a:extLst>
        </xdr:cNvPr>
        <xdr:cNvCxnSpPr/>
      </xdr:nvCxnSpPr>
      <xdr:spPr>
        <a:xfrm>
          <a:off x="13520083450" y="15335250"/>
          <a:ext cx="0" cy="641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774700</xdr:colOff>
      <xdr:row>75</xdr:row>
      <xdr:rowOff>95250</xdr:rowOff>
    </xdr:from>
    <xdr:to>
      <xdr:col>6</xdr:col>
      <xdr:colOff>50800</xdr:colOff>
      <xdr:row>75</xdr:row>
      <xdr:rowOff>95250</xdr:rowOff>
    </xdr:to>
    <xdr:cxnSp macro="">
      <xdr:nvCxnSpPr>
        <xdr:cNvPr id="16" name="Straight Connector 15">
          <a:extLst>
            <a:ext uri="{FF2B5EF4-FFF2-40B4-BE49-F238E27FC236}">
              <a16:creationId xmlns:a16="http://schemas.microsoft.com/office/drawing/2014/main" id="{C2A0C5E4-B630-29A6-C85C-0877AD2871F9}"/>
            </a:ext>
          </a:extLst>
        </xdr:cNvPr>
        <xdr:cNvCxnSpPr/>
      </xdr:nvCxnSpPr>
      <xdr:spPr>
        <a:xfrm>
          <a:off x="13519988200" y="15335250"/>
          <a:ext cx="101600" cy="0"/>
        </a:xfrm>
        <a:prstGeom prst="line">
          <a:avLst/>
        </a:prstGeom>
        <a:ln>
          <a:headEnd type="arrow" w="med" len="med"/>
          <a:tailEnd type="non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585459</xdr:colOff>
      <xdr:row>73</xdr:row>
      <xdr:rowOff>103517</xdr:rowOff>
    </xdr:from>
    <xdr:ext cx="172227" cy="1355843"/>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60,000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0F622C7C-EC1C-FBC1-D735-010778537154}"/>
                </a:ext>
              </a:extLst>
            </xdr:cNvPr>
            <xdr:cNvSpPr txBox="1"/>
          </xdr:nvSpPr>
          <xdr:spPr>
            <a:xfrm rot="16200000">
              <a:off x="13519515006" y="15528925"/>
              <a:ext cx="13558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60,000</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twoCellAnchor editAs="oneCell">
    <xdr:from>
      <xdr:col>1</xdr:col>
      <xdr:colOff>264963</xdr:colOff>
      <xdr:row>9</xdr:row>
      <xdr:rowOff>24484</xdr:rowOff>
    </xdr:from>
    <xdr:to>
      <xdr:col>5</xdr:col>
      <xdr:colOff>703525</xdr:colOff>
      <xdr:row>27</xdr:row>
      <xdr:rowOff>152399</xdr:rowOff>
    </xdr:to>
    <xdr:pic>
      <xdr:nvPicPr>
        <xdr:cNvPr id="2" name="Picture 1">
          <a:extLst>
            <a:ext uri="{FF2B5EF4-FFF2-40B4-BE49-F238E27FC236}">
              <a16:creationId xmlns:a16="http://schemas.microsoft.com/office/drawing/2014/main" id="{71785DA0-03BE-53BE-4AD7-18BC2D11F7C6}"/>
            </a:ext>
          </a:extLst>
        </xdr:cNvPr>
        <xdr:cNvPicPr>
          <a:picLocks noChangeAspect="1"/>
        </xdr:cNvPicPr>
      </xdr:nvPicPr>
      <xdr:blipFill>
        <a:blip xmlns:r="http://schemas.openxmlformats.org/officeDocument/2006/relationships" r:embed="rId1"/>
        <a:stretch>
          <a:fillRect/>
        </a:stretch>
      </xdr:blipFill>
      <xdr:spPr>
        <a:xfrm>
          <a:off x="13542608453" y="1431534"/>
          <a:ext cx="3746044" cy="3746044"/>
        </a:xfrm>
        <a:prstGeom prst="rect">
          <a:avLst/>
        </a:prstGeom>
      </xdr:spPr>
    </xdr:pic>
    <xdr:clientData/>
  </xdr:twoCellAnchor>
  <xdr:twoCellAnchor>
    <xdr:from>
      <xdr:col>6</xdr:col>
      <xdr:colOff>704718</xdr:colOff>
      <xdr:row>58</xdr:row>
      <xdr:rowOff>177122</xdr:rowOff>
    </xdr:from>
    <xdr:to>
      <xdr:col>7</xdr:col>
      <xdr:colOff>154509</xdr:colOff>
      <xdr:row>65</xdr:row>
      <xdr:rowOff>60296</xdr:rowOff>
    </xdr:to>
    <xdr:sp macro="" textlink="">
      <xdr:nvSpPr>
        <xdr:cNvPr id="3" name="Right Brace 2">
          <a:extLst>
            <a:ext uri="{FF2B5EF4-FFF2-40B4-BE49-F238E27FC236}">
              <a16:creationId xmlns:a16="http://schemas.microsoft.com/office/drawing/2014/main" id="{8954D1B9-992C-9BF1-B3F4-E8383D5AC3CA}"/>
            </a:ext>
          </a:extLst>
        </xdr:cNvPr>
        <xdr:cNvSpPr/>
      </xdr:nvSpPr>
      <xdr:spPr>
        <a:xfrm rot="10800000">
          <a:off x="13515973117" y="12002819"/>
          <a:ext cx="275103" cy="130768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244955</xdr:colOff>
      <xdr:row>60</xdr:row>
      <xdr:rowOff>120594</xdr:rowOff>
    </xdr:from>
    <xdr:to>
      <xdr:col>8</xdr:col>
      <xdr:colOff>700949</xdr:colOff>
      <xdr:row>63</xdr:row>
      <xdr:rowOff>90445</xdr:rowOff>
    </xdr:to>
    <xdr:sp macro="" textlink="">
      <xdr:nvSpPr>
        <xdr:cNvPr id="4" name="Rounded Rectangle 3">
          <a:extLst>
            <a:ext uri="{FF2B5EF4-FFF2-40B4-BE49-F238E27FC236}">
              <a16:creationId xmlns:a16="http://schemas.microsoft.com/office/drawing/2014/main" id="{80251C8E-69F0-1E4A-3E33-FB4BB0DFBF8C}"/>
            </a:ext>
          </a:extLst>
        </xdr:cNvPr>
        <xdr:cNvSpPr/>
      </xdr:nvSpPr>
      <xdr:spPr>
        <a:xfrm>
          <a:off x="13514601365" y="12353294"/>
          <a:ext cx="1281306" cy="58035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זהה</a:t>
          </a:r>
          <a:r>
            <a:rPr lang="he-IL" sz="1100" baseline="0"/>
            <a:t> לגמרי לאופן הטיפול בעבר</a:t>
          </a:r>
          <a:endParaRPr lang="en-US" sz="1100"/>
        </a:p>
      </xdr:txBody>
    </xdr:sp>
    <xdr:clientData/>
  </xdr:twoCellAnchor>
  <xdr:twoCellAnchor>
    <xdr:from>
      <xdr:col>6</xdr:col>
      <xdr:colOff>761247</xdr:colOff>
      <xdr:row>65</xdr:row>
      <xdr:rowOff>158278</xdr:rowOff>
    </xdr:from>
    <xdr:to>
      <xdr:col>7</xdr:col>
      <xdr:colOff>180889</xdr:colOff>
      <xdr:row>70</xdr:row>
      <xdr:rowOff>105518</xdr:rowOff>
    </xdr:to>
    <xdr:sp macro="" textlink="">
      <xdr:nvSpPr>
        <xdr:cNvPr id="5" name="Right Brace 4">
          <a:extLst>
            <a:ext uri="{FF2B5EF4-FFF2-40B4-BE49-F238E27FC236}">
              <a16:creationId xmlns:a16="http://schemas.microsoft.com/office/drawing/2014/main" id="{A1F30778-2281-A9A4-8543-36047B01BF07}"/>
            </a:ext>
          </a:extLst>
        </xdr:cNvPr>
        <xdr:cNvSpPr/>
      </xdr:nvSpPr>
      <xdr:spPr>
        <a:xfrm rot="10800000">
          <a:off x="13515946737" y="13408486"/>
          <a:ext cx="244954" cy="9647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262897</xdr:colOff>
      <xdr:row>65</xdr:row>
      <xdr:rowOff>79138</xdr:rowOff>
    </xdr:from>
    <xdr:to>
      <xdr:col>12</xdr:col>
      <xdr:colOff>350474</xdr:colOff>
      <xdr:row>70</xdr:row>
      <xdr:rowOff>101115</xdr:rowOff>
    </xdr:to>
    <xdr:sp macro="" textlink="">
      <xdr:nvSpPr>
        <xdr:cNvPr id="6" name="Rounded Rectangle 5">
          <a:extLst>
            <a:ext uri="{FF2B5EF4-FFF2-40B4-BE49-F238E27FC236}">
              <a16:creationId xmlns:a16="http://schemas.microsoft.com/office/drawing/2014/main" id="{10D7F1B4-7B90-34A9-1205-7E66345459F4}"/>
            </a:ext>
          </a:extLst>
        </xdr:cNvPr>
        <xdr:cNvSpPr/>
      </xdr:nvSpPr>
      <xdr:spPr>
        <a:xfrm>
          <a:off x="13508113730" y="1324831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מהוצאות פחת שונות.</a:t>
          </a:r>
        </a:p>
        <a:p>
          <a:pPr algn="ctr" rtl="1"/>
          <a:r>
            <a:rPr lang="he-IL" sz="1100"/>
            <a:t>ההפרשים</a:t>
          </a:r>
          <a:r>
            <a:rPr lang="he-IL" sz="1100" baseline="0"/>
            <a:t> הללו - ברווח והפסד, ונרצה לאתרם ספציפית</a:t>
          </a:r>
        </a:p>
        <a:p>
          <a:pPr algn="ctr" rtl="1"/>
          <a:r>
            <a:rPr lang="he-IL" sz="1100" baseline="0"/>
            <a:t>מדוע?</a:t>
          </a:r>
        </a:p>
        <a:p>
          <a:pPr algn="ctr" rtl="1"/>
          <a:r>
            <a:rPr lang="he-IL" sz="1100" baseline="0"/>
            <a:t>א. בדוח ההתאמה - להפרשי פחת יש שורה נפרדת</a:t>
          </a:r>
        </a:p>
        <a:p>
          <a:pPr algn="ctr" rtl="1"/>
          <a:r>
            <a:rPr lang="he-IL" sz="1100" baseline="0"/>
            <a:t>ב. מדובר בחלק מרכיב הפער שנזקף לרוו״ה</a:t>
          </a:r>
          <a:endParaRPr lang="en-US" sz="1100"/>
        </a:p>
      </xdr:txBody>
    </xdr:sp>
    <xdr:clientData/>
  </xdr:twoCellAnchor>
  <xdr:twoCellAnchor>
    <xdr:from>
      <xdr:col>6</xdr:col>
      <xdr:colOff>773381</xdr:colOff>
      <xdr:row>70</xdr:row>
      <xdr:rowOff>178502</xdr:rowOff>
    </xdr:from>
    <xdr:to>
      <xdr:col>7</xdr:col>
      <xdr:colOff>193023</xdr:colOff>
      <xdr:row>75</xdr:row>
      <xdr:rowOff>125741</xdr:rowOff>
    </xdr:to>
    <xdr:sp macro="" textlink="">
      <xdr:nvSpPr>
        <xdr:cNvPr id="7" name="Right Brace 6">
          <a:extLst>
            <a:ext uri="{FF2B5EF4-FFF2-40B4-BE49-F238E27FC236}">
              <a16:creationId xmlns:a16="http://schemas.microsoft.com/office/drawing/2014/main" id="{910FE0B6-C2BC-0CF6-F966-D5352A9B517A}"/>
            </a:ext>
          </a:extLst>
        </xdr:cNvPr>
        <xdr:cNvSpPr/>
      </xdr:nvSpPr>
      <xdr:spPr>
        <a:xfrm rot="10800000">
          <a:off x="13512396658" y="14358820"/>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234585</xdr:colOff>
      <xdr:row>70</xdr:row>
      <xdr:rowOff>143852</xdr:rowOff>
    </xdr:from>
    <xdr:to>
      <xdr:col>12</xdr:col>
      <xdr:colOff>322162</xdr:colOff>
      <xdr:row>75</xdr:row>
      <xdr:rowOff>165828</xdr:rowOff>
    </xdr:to>
    <xdr:sp macro="" textlink="">
      <xdr:nvSpPr>
        <xdr:cNvPr id="8" name="Rounded Rectangle 7">
          <a:extLst>
            <a:ext uri="{FF2B5EF4-FFF2-40B4-BE49-F238E27FC236}">
              <a16:creationId xmlns:a16="http://schemas.microsoft.com/office/drawing/2014/main" id="{6D5F3255-A1E8-7847-6EAC-E7983AC1FDB7}"/>
            </a:ext>
          </a:extLst>
        </xdr:cNvPr>
        <xdr:cNvSpPr/>
      </xdr:nvSpPr>
      <xdr:spPr>
        <a:xfrm>
          <a:off x="13508142042" y="14324170"/>
          <a:ext cx="4213054" cy="103312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חלק מההפרשים ביני ובין רשות המסים נובעים מעלייה / ירידת</a:t>
          </a:r>
        </a:p>
        <a:p>
          <a:pPr algn="ctr" rtl="1"/>
          <a:r>
            <a:rPr lang="he-IL" sz="1100"/>
            <a:t>ערך בעקבות השערוך. זהו רק גודל ראשוני. </a:t>
          </a:r>
        </a:p>
        <a:p>
          <a:pPr algn="ctr" rtl="1"/>
          <a:r>
            <a:rPr lang="he-IL" sz="1100"/>
            <a:t>עליי לפצלו בהמשך - בין:</a:t>
          </a:r>
        </a:p>
        <a:p>
          <a:pPr algn="ctr" rtl="1"/>
          <a:r>
            <a:rPr lang="he-IL" sz="1100"/>
            <a:t>- הרכיב שיילך לקרן הון</a:t>
          </a:r>
        </a:p>
        <a:p>
          <a:pPr algn="ctr" rtl="1"/>
          <a:r>
            <a:rPr lang="he-IL" sz="1100"/>
            <a:t>- הרכיב שיילך לרווח והפסד</a:t>
          </a:r>
          <a:endParaRPr lang="en-US" sz="1100"/>
        </a:p>
      </xdr:txBody>
    </xdr:sp>
    <xdr:clientData/>
  </xdr:twoCellAnchor>
  <xdr:twoCellAnchor>
    <xdr:from>
      <xdr:col>6</xdr:col>
      <xdr:colOff>773381</xdr:colOff>
      <xdr:row>81</xdr:row>
      <xdr:rowOff>57164</xdr:rowOff>
    </xdr:from>
    <xdr:to>
      <xdr:col>7</xdr:col>
      <xdr:colOff>193023</xdr:colOff>
      <xdr:row>86</xdr:row>
      <xdr:rowOff>4404</xdr:rowOff>
    </xdr:to>
    <xdr:sp macro="" textlink="">
      <xdr:nvSpPr>
        <xdr:cNvPr id="9" name="Right Brace 8">
          <a:extLst>
            <a:ext uri="{FF2B5EF4-FFF2-40B4-BE49-F238E27FC236}">
              <a16:creationId xmlns:a16="http://schemas.microsoft.com/office/drawing/2014/main" id="{72DD8A4A-5D29-E4BF-CD9C-D692667453AF}"/>
            </a:ext>
          </a:extLst>
        </xdr:cNvPr>
        <xdr:cNvSpPr/>
      </xdr:nvSpPr>
      <xdr:spPr>
        <a:xfrm rot="10800000">
          <a:off x="13512396658" y="16462005"/>
          <a:ext cx="244738" cy="95838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481305</xdr:colOff>
      <xdr:row>76</xdr:row>
      <xdr:rowOff>40446</xdr:rowOff>
    </xdr:from>
    <xdr:to>
      <xdr:col>9</xdr:col>
      <xdr:colOff>825095</xdr:colOff>
      <xdr:row>81</xdr:row>
      <xdr:rowOff>56624</xdr:rowOff>
    </xdr:to>
    <xdr:sp macro="" textlink="">
      <xdr:nvSpPr>
        <xdr:cNvPr id="10" name="Down Arrow 9">
          <a:extLst>
            <a:ext uri="{FF2B5EF4-FFF2-40B4-BE49-F238E27FC236}">
              <a16:creationId xmlns:a16="http://schemas.microsoft.com/office/drawing/2014/main" id="{B26A0C8D-84AF-15ED-633D-640885A209CF}"/>
            </a:ext>
          </a:extLst>
        </xdr:cNvPr>
        <xdr:cNvSpPr/>
      </xdr:nvSpPr>
      <xdr:spPr>
        <a:xfrm>
          <a:off x="13510114395" y="15434140"/>
          <a:ext cx="343790" cy="10273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238629</xdr:colOff>
      <xdr:row>81</xdr:row>
      <xdr:rowOff>54871</xdr:rowOff>
    </xdr:from>
    <xdr:to>
      <xdr:col>12</xdr:col>
      <xdr:colOff>326206</xdr:colOff>
      <xdr:row>85</xdr:row>
      <xdr:rowOff>60669</xdr:rowOff>
    </xdr:to>
    <xdr:sp macro="" textlink="">
      <xdr:nvSpPr>
        <xdr:cNvPr id="11" name="Rounded Rectangle 10">
          <a:extLst>
            <a:ext uri="{FF2B5EF4-FFF2-40B4-BE49-F238E27FC236}">
              <a16:creationId xmlns:a16="http://schemas.microsoft.com/office/drawing/2014/main" id="{1E45F444-15D2-B111-DDFB-A4557D1DAD0B}"/>
            </a:ext>
          </a:extLst>
        </xdr:cNvPr>
        <xdr:cNvSpPr/>
      </xdr:nvSpPr>
      <xdr:spPr>
        <a:xfrm>
          <a:off x="13508137998" y="16459712"/>
          <a:ext cx="4213054" cy="81471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עלינו לפצל</a:t>
          </a:r>
          <a:r>
            <a:rPr lang="he-IL" sz="1100" baseline="0"/>
            <a:t> את עליית / ירידת הערך הכוללת בין:</a:t>
          </a:r>
        </a:p>
        <a:p>
          <a:pPr algn="ctr" rtl="1"/>
          <a:r>
            <a:rPr lang="he-IL" sz="1100" baseline="0"/>
            <a:t>- החלק שנזקף לקרן הון </a:t>
          </a:r>
        </a:p>
        <a:p>
          <a:pPr algn="ctr" rtl="1"/>
          <a:r>
            <a:rPr lang="he-IL" sz="1100" baseline="0"/>
            <a:t>- החלק שנזקף לרווח והפסד</a:t>
          </a:r>
        </a:p>
        <a:p>
          <a:pPr algn="ctr" rtl="1"/>
          <a:endParaRPr lang="en-US" sz="1100"/>
        </a:p>
      </xdr:txBody>
    </xdr:sp>
    <xdr:clientData/>
  </xdr:twoCellAnchor>
  <xdr:twoCellAnchor>
    <xdr:from>
      <xdr:col>5</xdr:col>
      <xdr:colOff>578375</xdr:colOff>
      <xdr:row>77</xdr:row>
      <xdr:rowOff>8089</xdr:rowOff>
    </xdr:from>
    <xdr:to>
      <xdr:col>5</xdr:col>
      <xdr:colOff>748248</xdr:colOff>
      <xdr:row>77</xdr:row>
      <xdr:rowOff>177961</xdr:rowOff>
    </xdr:to>
    <xdr:sp macro="" textlink="">
      <xdr:nvSpPr>
        <xdr:cNvPr id="12" name="Oval 11">
          <a:extLst>
            <a:ext uri="{FF2B5EF4-FFF2-40B4-BE49-F238E27FC236}">
              <a16:creationId xmlns:a16="http://schemas.microsoft.com/office/drawing/2014/main" id="{1DC79EF0-4B3F-271D-C8C1-847921AAC20B}"/>
            </a:ext>
          </a:extLst>
        </xdr:cNvPr>
        <xdr:cNvSpPr/>
      </xdr:nvSpPr>
      <xdr:spPr>
        <a:xfrm>
          <a:off x="13513491624" y="15604013"/>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574330</xdr:colOff>
      <xdr:row>78</xdr:row>
      <xdr:rowOff>12134</xdr:rowOff>
    </xdr:from>
    <xdr:to>
      <xdr:col>5</xdr:col>
      <xdr:colOff>744203</xdr:colOff>
      <xdr:row>78</xdr:row>
      <xdr:rowOff>182006</xdr:rowOff>
    </xdr:to>
    <xdr:sp macro="" textlink="">
      <xdr:nvSpPr>
        <xdr:cNvPr id="13" name="Oval 12">
          <a:extLst>
            <a:ext uri="{FF2B5EF4-FFF2-40B4-BE49-F238E27FC236}">
              <a16:creationId xmlns:a16="http://schemas.microsoft.com/office/drawing/2014/main" id="{4F2E06F2-7069-47E6-8A4C-2E4F0F3313F2}"/>
            </a:ext>
          </a:extLst>
        </xdr:cNvPr>
        <xdr:cNvSpPr/>
      </xdr:nvSpPr>
      <xdr:spPr>
        <a:xfrm>
          <a:off x="13513495669" y="15810287"/>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5</xdr:col>
      <xdr:colOff>541973</xdr:colOff>
      <xdr:row>85</xdr:row>
      <xdr:rowOff>24268</xdr:rowOff>
    </xdr:from>
    <xdr:to>
      <xdr:col>5</xdr:col>
      <xdr:colOff>711846</xdr:colOff>
      <xdr:row>85</xdr:row>
      <xdr:rowOff>194140</xdr:rowOff>
    </xdr:to>
    <xdr:sp macro="" textlink="">
      <xdr:nvSpPr>
        <xdr:cNvPr id="14" name="Oval 13">
          <a:extLst>
            <a:ext uri="{FF2B5EF4-FFF2-40B4-BE49-F238E27FC236}">
              <a16:creationId xmlns:a16="http://schemas.microsoft.com/office/drawing/2014/main" id="{5895E543-8796-312D-F1B1-0D8DA7BFE387}"/>
            </a:ext>
          </a:extLst>
        </xdr:cNvPr>
        <xdr:cNvSpPr/>
      </xdr:nvSpPr>
      <xdr:spPr>
        <a:xfrm>
          <a:off x="13513528026" y="17238026"/>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550062</xdr:colOff>
      <xdr:row>84</xdr:row>
      <xdr:rowOff>20223</xdr:rowOff>
    </xdr:from>
    <xdr:to>
      <xdr:col>5</xdr:col>
      <xdr:colOff>719935</xdr:colOff>
      <xdr:row>84</xdr:row>
      <xdr:rowOff>190095</xdr:rowOff>
    </xdr:to>
    <xdr:sp macro="" textlink="">
      <xdr:nvSpPr>
        <xdr:cNvPr id="15" name="Oval 14">
          <a:extLst>
            <a:ext uri="{FF2B5EF4-FFF2-40B4-BE49-F238E27FC236}">
              <a16:creationId xmlns:a16="http://schemas.microsoft.com/office/drawing/2014/main" id="{ACBE847D-0337-80F0-8CEC-3E40768482BD}"/>
            </a:ext>
          </a:extLst>
        </xdr:cNvPr>
        <xdr:cNvSpPr/>
      </xdr:nvSpPr>
      <xdr:spPr>
        <a:xfrm>
          <a:off x="13513519937" y="17031752"/>
          <a:ext cx="169873" cy="1698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327611</xdr:colOff>
      <xdr:row>85</xdr:row>
      <xdr:rowOff>101115</xdr:rowOff>
    </xdr:from>
    <xdr:to>
      <xdr:col>8</xdr:col>
      <xdr:colOff>651179</xdr:colOff>
      <xdr:row>88</xdr:row>
      <xdr:rowOff>0</xdr:rowOff>
    </xdr:to>
    <xdr:sp macro="" textlink="">
      <xdr:nvSpPr>
        <xdr:cNvPr id="16" name="Down Arrow 15">
          <a:extLst>
            <a:ext uri="{FF2B5EF4-FFF2-40B4-BE49-F238E27FC236}">
              <a16:creationId xmlns:a16="http://schemas.microsoft.com/office/drawing/2014/main" id="{79F0F52C-BA72-2915-8CB9-90AA8CDCC73D}"/>
            </a:ext>
          </a:extLst>
        </xdr:cNvPr>
        <xdr:cNvSpPr/>
      </xdr:nvSpPr>
      <xdr:spPr>
        <a:xfrm>
          <a:off x="13511113407" y="17314873"/>
          <a:ext cx="323568" cy="50557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805267</xdr:colOff>
      <xdr:row>88</xdr:row>
      <xdr:rowOff>36966</xdr:rowOff>
    </xdr:from>
    <xdr:to>
      <xdr:col>10</xdr:col>
      <xdr:colOff>396765</xdr:colOff>
      <xdr:row>93</xdr:row>
      <xdr:rowOff>141872</xdr:rowOff>
    </xdr:to>
    <xdr:sp macro="" textlink="">
      <xdr:nvSpPr>
        <xdr:cNvPr id="17" name="Rounded Rectangle 16">
          <a:extLst>
            <a:ext uri="{FF2B5EF4-FFF2-40B4-BE49-F238E27FC236}">
              <a16:creationId xmlns:a16="http://schemas.microsoft.com/office/drawing/2014/main" id="{71BFF9A0-A0AC-D4AF-7E12-F2F8251D613B}"/>
            </a:ext>
          </a:extLst>
        </xdr:cNvPr>
        <xdr:cNvSpPr/>
      </xdr:nvSpPr>
      <xdr:spPr>
        <a:xfrm>
          <a:off x="13523611207" y="18038994"/>
          <a:ext cx="2895275" cy="112623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הירידה היא ל-320,000</a:t>
          </a:r>
        </a:p>
        <a:p>
          <a:pPr algn="ctr" rtl="1"/>
          <a:r>
            <a:rPr lang="he-IL" sz="1100"/>
            <a:t>שזה מתחת לעלות מופחתת מקורית 400,000 </a:t>
          </a:r>
        </a:p>
        <a:p>
          <a:pPr algn="ctr" rtl="1"/>
          <a:r>
            <a:rPr lang="he-IL" sz="1100"/>
            <a:t>יוכר כהפסד</a:t>
          </a:r>
          <a:r>
            <a:rPr lang="he-IL" sz="1100" baseline="0"/>
            <a:t> </a:t>
          </a:r>
          <a:r>
            <a:rPr lang="he-IL" sz="1100"/>
            <a:t>80,000</a:t>
          </a:r>
        </a:p>
        <a:p>
          <a:pPr algn="ctr" rtl="1"/>
          <a:r>
            <a:rPr lang="he-IL" sz="1100"/>
            <a:t>כל יתר הירידה:</a:t>
          </a:r>
          <a:r>
            <a:rPr lang="he-IL" sz="1100" baseline="0"/>
            <a:t> 168,889-80,000 </a:t>
          </a:r>
        </a:p>
        <a:p>
          <a:pPr algn="ctr" rtl="1"/>
          <a:r>
            <a:rPr lang="he-IL" sz="1100" baseline="0"/>
            <a:t>יקטין קרן 88,889</a:t>
          </a:r>
          <a:endParaRPr lang="en-US" sz="1100"/>
        </a:p>
      </xdr:txBody>
    </xdr:sp>
    <xdr:clientData/>
  </xdr:twoCellAnchor>
  <xdr:twoCellAnchor>
    <xdr:from>
      <xdr:col>11</xdr:col>
      <xdr:colOff>283205</xdr:colOff>
      <xdr:row>85</xdr:row>
      <xdr:rowOff>83352</xdr:rowOff>
    </xdr:from>
    <xdr:to>
      <xdr:col>11</xdr:col>
      <xdr:colOff>606773</xdr:colOff>
      <xdr:row>87</xdr:row>
      <xdr:rowOff>186503</xdr:rowOff>
    </xdr:to>
    <xdr:sp macro="" textlink="">
      <xdr:nvSpPr>
        <xdr:cNvPr id="18" name="Down Arrow 17">
          <a:extLst>
            <a:ext uri="{FF2B5EF4-FFF2-40B4-BE49-F238E27FC236}">
              <a16:creationId xmlns:a16="http://schemas.microsoft.com/office/drawing/2014/main" id="{75AA85CC-E0BF-5824-DDA9-717144C9B9C3}"/>
            </a:ext>
          </a:extLst>
        </xdr:cNvPr>
        <xdr:cNvSpPr/>
      </xdr:nvSpPr>
      <xdr:spPr>
        <a:xfrm>
          <a:off x="13522575255" y="17472583"/>
          <a:ext cx="323568" cy="511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461816</xdr:colOff>
      <xdr:row>88</xdr:row>
      <xdr:rowOff>19204</xdr:rowOff>
    </xdr:from>
    <xdr:to>
      <xdr:col>14</xdr:col>
      <xdr:colOff>132687</xdr:colOff>
      <xdr:row>94</xdr:row>
      <xdr:rowOff>156380</xdr:rowOff>
    </xdr:to>
    <xdr:sp macro="" textlink="">
      <xdr:nvSpPr>
        <xdr:cNvPr id="19" name="Rounded Rectangle 18">
          <a:extLst>
            <a:ext uri="{FF2B5EF4-FFF2-40B4-BE49-F238E27FC236}">
              <a16:creationId xmlns:a16="http://schemas.microsoft.com/office/drawing/2014/main" id="{F4326FA3-7816-7CE4-0B73-A80C50026B2A}"/>
            </a:ext>
          </a:extLst>
        </xdr:cNvPr>
        <xdr:cNvSpPr/>
      </xdr:nvSpPr>
      <xdr:spPr>
        <a:xfrm>
          <a:off x="13497787463" y="17979279"/>
          <a:ext cx="2969080" cy="135978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חלה עלייה ל-455,000</a:t>
          </a:r>
        </a:p>
        <a:p>
          <a:pPr algn="ctr" rtl="1"/>
          <a:r>
            <a:rPr lang="he-IL" sz="1100"/>
            <a:t>שהיא</a:t>
          </a:r>
          <a:r>
            <a:rPr lang="he-IL" sz="1100" baseline="0"/>
            <a:t> מעל עמ״מ 350,000</a:t>
          </a:r>
        </a:p>
        <a:p>
          <a:pPr algn="ctr" rtl="1"/>
          <a:r>
            <a:rPr lang="he-IL" sz="1100" baseline="0"/>
            <a:t>וזה הולך לקרן 105,000 = 350,000 - 455,000</a:t>
          </a:r>
        </a:p>
        <a:p>
          <a:pPr algn="ctr" rtl="1"/>
          <a:r>
            <a:rPr lang="he-IL" sz="1100" baseline="0"/>
            <a:t>כל היתר הולך לרווח והפסד 70,000</a:t>
          </a:r>
        </a:p>
      </xdr:txBody>
    </xdr:sp>
    <xdr:clientData/>
  </xdr:twoCellAnchor>
  <xdr:twoCellAnchor>
    <xdr:from>
      <xdr:col>7</xdr:col>
      <xdr:colOff>129836</xdr:colOff>
      <xdr:row>95</xdr:row>
      <xdr:rowOff>174906</xdr:rowOff>
    </xdr:from>
    <xdr:to>
      <xdr:col>13</xdr:col>
      <xdr:colOff>751535</xdr:colOff>
      <xdr:row>98</xdr:row>
      <xdr:rowOff>156966</xdr:rowOff>
    </xdr:to>
    <xdr:sp macro="" textlink="">
      <xdr:nvSpPr>
        <xdr:cNvPr id="20" name="Rounded Rectangle 19">
          <a:extLst>
            <a:ext uri="{FF2B5EF4-FFF2-40B4-BE49-F238E27FC236}">
              <a16:creationId xmlns:a16="http://schemas.microsoft.com/office/drawing/2014/main" id="{ABDF08D1-9DE5-BAA6-68FD-49CF7232686B}"/>
            </a:ext>
          </a:extLst>
        </xdr:cNvPr>
        <xdr:cNvSpPr/>
      </xdr:nvSpPr>
      <xdr:spPr>
        <a:xfrm>
          <a:off x="13548550263" y="19624457"/>
          <a:ext cx="5587542" cy="5956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הוצאות המסים הנדחים</a:t>
          </a:r>
          <a:r>
            <a:rPr lang="he-IL" sz="1100" baseline="0"/>
            <a:t> ברווח והפסד יושפעו אך ורק מאותם הפרשים שהופיעו ברווח והפסד / נכללו בדוח התאמה</a:t>
          </a:r>
          <a:endParaRPr lang="en-US" sz="1100"/>
        </a:p>
      </xdr:txBody>
    </xdr:sp>
    <xdr:clientData/>
  </xdr:twoCellAnchor>
  <xdr:twoCellAnchor>
    <xdr:from>
      <xdr:col>8</xdr:col>
      <xdr:colOff>309176</xdr:colOff>
      <xdr:row>98</xdr:row>
      <xdr:rowOff>134412</xdr:rowOff>
    </xdr:from>
    <xdr:to>
      <xdr:col>8</xdr:col>
      <xdr:colOff>613127</xdr:colOff>
      <xdr:row>99</xdr:row>
      <xdr:rowOff>199776</xdr:rowOff>
    </xdr:to>
    <xdr:sp macro="" textlink="">
      <xdr:nvSpPr>
        <xdr:cNvPr id="21" name="Down Arrow 20">
          <a:extLst>
            <a:ext uri="{FF2B5EF4-FFF2-40B4-BE49-F238E27FC236}">
              <a16:creationId xmlns:a16="http://schemas.microsoft.com/office/drawing/2014/main" id="{19E76976-6B5D-73E1-7796-207530CA2655}"/>
            </a:ext>
          </a:extLst>
        </xdr:cNvPr>
        <xdr:cNvSpPr/>
      </xdr:nvSpPr>
      <xdr:spPr>
        <a:xfrm>
          <a:off x="13552826873" y="20197558"/>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210697</xdr:colOff>
      <xdr:row>100</xdr:row>
      <xdr:rowOff>8427</xdr:rowOff>
    </xdr:from>
    <xdr:to>
      <xdr:col>10</xdr:col>
      <xdr:colOff>629835</xdr:colOff>
      <xdr:row>105</xdr:row>
      <xdr:rowOff>113333</xdr:rowOff>
    </xdr:to>
    <xdr:sp macro="" textlink="">
      <xdr:nvSpPr>
        <xdr:cNvPr id="22" name="Rounded Rectangle 21">
          <a:extLst>
            <a:ext uri="{FF2B5EF4-FFF2-40B4-BE49-F238E27FC236}">
              <a16:creationId xmlns:a16="http://schemas.microsoft.com/office/drawing/2014/main" id="{74F79295-39A5-4F28-8CD1-2832BE59291D}"/>
            </a:ext>
          </a:extLst>
        </xdr:cNvPr>
        <xdr:cNvSpPr/>
      </xdr:nvSpPr>
      <xdr:spPr>
        <a:xfrm>
          <a:off x="13551154885" y="20480637"/>
          <a:ext cx="2902059"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ב-2024: היו הוצאות לא מוכרות של 91,111 וכפלנו אותן בשיעור המס 25% כדי לחשב את הוצאות המס הנדחה (במינוס - יוצר נכס מס נדחה)</a:t>
          </a:r>
          <a:endParaRPr lang="en-US" sz="1100"/>
        </a:p>
      </xdr:txBody>
    </xdr:sp>
    <xdr:clientData/>
  </xdr:twoCellAnchor>
  <xdr:twoCellAnchor>
    <xdr:from>
      <xdr:col>12</xdr:col>
      <xdr:colOff>390039</xdr:colOff>
      <xdr:row>98</xdr:row>
      <xdr:rowOff>139168</xdr:rowOff>
    </xdr:from>
    <xdr:to>
      <xdr:col>12</xdr:col>
      <xdr:colOff>693990</xdr:colOff>
      <xdr:row>100</xdr:row>
      <xdr:rowOff>0</xdr:rowOff>
    </xdr:to>
    <xdr:sp macro="" textlink="">
      <xdr:nvSpPr>
        <xdr:cNvPr id="23" name="Down Arrow 22">
          <a:extLst>
            <a:ext uri="{FF2B5EF4-FFF2-40B4-BE49-F238E27FC236}">
              <a16:creationId xmlns:a16="http://schemas.microsoft.com/office/drawing/2014/main" id="{4B980E4D-7777-EAEA-D744-A4FDAB12BB6F}"/>
            </a:ext>
          </a:extLst>
        </xdr:cNvPr>
        <xdr:cNvSpPr/>
      </xdr:nvSpPr>
      <xdr:spPr>
        <a:xfrm>
          <a:off x="13549435449" y="20202314"/>
          <a:ext cx="303951" cy="2698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808616</xdr:colOff>
      <xdr:row>100</xdr:row>
      <xdr:rowOff>17940</xdr:rowOff>
    </xdr:from>
    <xdr:to>
      <xdr:col>14</xdr:col>
      <xdr:colOff>20997</xdr:colOff>
      <xdr:row>105</xdr:row>
      <xdr:rowOff>122846</xdr:rowOff>
    </xdr:to>
    <xdr:sp macro="" textlink="">
      <xdr:nvSpPr>
        <xdr:cNvPr id="24" name="Rounded Rectangle 23">
          <a:extLst>
            <a:ext uri="{FF2B5EF4-FFF2-40B4-BE49-F238E27FC236}">
              <a16:creationId xmlns:a16="http://schemas.microsoft.com/office/drawing/2014/main" id="{C8F1E3AB-A709-14B8-522B-CE823B1E99DC}"/>
            </a:ext>
          </a:extLst>
        </xdr:cNvPr>
        <xdr:cNvSpPr/>
      </xdr:nvSpPr>
      <xdr:spPr>
        <a:xfrm>
          <a:off x="13548453161" y="20490150"/>
          <a:ext cx="2522943" cy="112756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ב-2025 היו הוצאות מוכרות נוספות בסכום של 80,000 ש״ח וכפלנו אותן בשיעור המס 25% כדי לחשב את הוצאות המס הנדחה (ניצול נכס המס הנדחה/יצירת התחייבות)</a:t>
          </a:r>
          <a:endParaRPr lang="en-US" sz="1100"/>
        </a:p>
      </xdr:txBody>
    </xdr:sp>
    <xdr:clientData/>
  </xdr:twoCellAnchor>
  <xdr:twoCellAnchor editAs="oneCell">
    <xdr:from>
      <xdr:col>0</xdr:col>
      <xdr:colOff>1</xdr:colOff>
      <xdr:row>106</xdr:row>
      <xdr:rowOff>0</xdr:rowOff>
    </xdr:from>
    <xdr:to>
      <xdr:col>1</xdr:col>
      <xdr:colOff>375770</xdr:colOff>
      <xdr:row>112</xdr:row>
      <xdr:rowOff>94199</xdr:rowOff>
    </xdr:to>
    <xdr:pic>
      <xdr:nvPicPr>
        <xdr:cNvPr id="25" name="Picture 24">
          <a:extLst>
            <a:ext uri="{FF2B5EF4-FFF2-40B4-BE49-F238E27FC236}">
              <a16:creationId xmlns:a16="http://schemas.microsoft.com/office/drawing/2014/main" id="{C40DBA71-475A-E9EF-FF8D-1E0A074B7FF7}"/>
            </a:ext>
          </a:extLst>
        </xdr:cNvPr>
        <xdr:cNvPicPr>
          <a:picLocks noChangeAspect="1"/>
        </xdr:cNvPicPr>
      </xdr:nvPicPr>
      <xdr:blipFill>
        <a:blip xmlns:r="http://schemas.openxmlformats.org/officeDocument/2006/relationships" r:embed="rId2"/>
        <a:stretch>
          <a:fillRect/>
        </a:stretch>
      </xdr:blipFill>
      <xdr:spPr>
        <a:xfrm>
          <a:off x="13558857714" y="21699401"/>
          <a:ext cx="1203409" cy="1321390"/>
        </a:xfrm>
        <a:prstGeom prst="rect">
          <a:avLst/>
        </a:prstGeom>
      </xdr:spPr>
    </xdr:pic>
    <xdr:clientData/>
  </xdr:twoCellAnchor>
  <xdr:twoCellAnchor>
    <xdr:from>
      <xdr:col>1</xdr:col>
      <xdr:colOff>703971</xdr:colOff>
      <xdr:row>105</xdr:row>
      <xdr:rowOff>171236</xdr:rowOff>
    </xdr:from>
    <xdr:to>
      <xdr:col>12</xdr:col>
      <xdr:colOff>285394</xdr:colOff>
      <xdr:row>112</xdr:row>
      <xdr:rowOff>104644</xdr:rowOff>
    </xdr:to>
    <xdr:sp macro="" textlink="">
      <xdr:nvSpPr>
        <xdr:cNvPr id="26" name="Rounded Rectangle 25">
          <a:extLst>
            <a:ext uri="{FF2B5EF4-FFF2-40B4-BE49-F238E27FC236}">
              <a16:creationId xmlns:a16="http://schemas.microsoft.com/office/drawing/2014/main" id="{0C390BDB-3F99-DB9A-BA0B-F09C902360E1}"/>
            </a:ext>
          </a:extLst>
        </xdr:cNvPr>
        <xdr:cNvSpPr/>
      </xdr:nvSpPr>
      <xdr:spPr>
        <a:xfrm>
          <a:off x="13549844045" y="21666105"/>
          <a:ext cx="8685468" cy="136513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393700</xdr:colOff>
      <xdr:row>146</xdr:row>
      <xdr:rowOff>57150</xdr:rowOff>
    </xdr:from>
    <xdr:to>
      <xdr:col>1</xdr:col>
      <xdr:colOff>818136</xdr:colOff>
      <xdr:row>150</xdr:row>
      <xdr:rowOff>57150</xdr:rowOff>
    </xdr:to>
    <xdr:pic>
      <xdr:nvPicPr>
        <xdr:cNvPr id="27" name="Picture 26">
          <a:extLst>
            <a:ext uri="{FF2B5EF4-FFF2-40B4-BE49-F238E27FC236}">
              <a16:creationId xmlns:a16="http://schemas.microsoft.com/office/drawing/2014/main" id="{07D45540-0FD7-5027-8DEE-10738DE310D8}"/>
            </a:ext>
          </a:extLst>
        </xdr:cNvPr>
        <xdr:cNvPicPr>
          <a:picLocks noChangeAspect="1"/>
        </xdr:cNvPicPr>
      </xdr:nvPicPr>
      <xdr:blipFill>
        <a:blip xmlns:r="http://schemas.openxmlformats.org/officeDocument/2006/relationships" r:embed="rId3"/>
        <a:stretch>
          <a:fillRect/>
        </a:stretch>
      </xdr:blipFill>
      <xdr:spPr>
        <a:xfrm>
          <a:off x="13523348364" y="29749750"/>
          <a:ext cx="1249936" cy="812800"/>
        </a:xfrm>
        <a:prstGeom prst="rect">
          <a:avLst/>
        </a:prstGeom>
      </xdr:spPr>
    </xdr:pic>
    <xdr:clientData/>
  </xdr:twoCellAnchor>
  <xdr:twoCellAnchor>
    <xdr:from>
      <xdr:col>0</xdr:col>
      <xdr:colOff>203200</xdr:colOff>
      <xdr:row>150</xdr:row>
      <xdr:rowOff>0</xdr:rowOff>
    </xdr:from>
    <xdr:to>
      <xdr:col>0</xdr:col>
      <xdr:colOff>698500</xdr:colOff>
      <xdr:row>152</xdr:row>
      <xdr:rowOff>44450</xdr:rowOff>
    </xdr:to>
    <xdr:cxnSp macro="">
      <xdr:nvCxnSpPr>
        <xdr:cNvPr id="29" name="Straight Arrow Connector 28">
          <a:extLst>
            <a:ext uri="{FF2B5EF4-FFF2-40B4-BE49-F238E27FC236}">
              <a16:creationId xmlns:a16="http://schemas.microsoft.com/office/drawing/2014/main" id="{AC19CE5A-7C09-C3F8-1678-9DBB6C6BC11C}"/>
            </a:ext>
          </a:extLst>
        </xdr:cNvPr>
        <xdr:cNvCxnSpPr/>
      </xdr:nvCxnSpPr>
      <xdr:spPr>
        <a:xfrm>
          <a:off x="13524293500" y="30505400"/>
          <a:ext cx="495300" cy="4508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501650</xdr:colOff>
      <xdr:row>149</xdr:row>
      <xdr:rowOff>184150</xdr:rowOff>
    </xdr:from>
    <xdr:to>
      <xdr:col>1</xdr:col>
      <xdr:colOff>596900</xdr:colOff>
      <xdr:row>152</xdr:row>
      <xdr:rowOff>114300</xdr:rowOff>
    </xdr:to>
    <xdr:cxnSp macro="">
      <xdr:nvCxnSpPr>
        <xdr:cNvPr id="31" name="Straight Arrow Connector 30">
          <a:extLst>
            <a:ext uri="{FF2B5EF4-FFF2-40B4-BE49-F238E27FC236}">
              <a16:creationId xmlns:a16="http://schemas.microsoft.com/office/drawing/2014/main" id="{19F8901B-4A54-88D6-2AFF-F4289A2804CC}"/>
            </a:ext>
          </a:extLst>
        </xdr:cNvPr>
        <xdr:cNvCxnSpPr/>
      </xdr:nvCxnSpPr>
      <xdr:spPr>
        <a:xfrm flipH="1">
          <a:off x="13523569600" y="30486350"/>
          <a:ext cx="95250" cy="5397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213507</xdr:colOff>
      <xdr:row>175</xdr:row>
      <xdr:rowOff>99390</xdr:rowOff>
    </xdr:from>
    <xdr:to>
      <xdr:col>8</xdr:col>
      <xdr:colOff>620827</xdr:colOff>
      <xdr:row>181</xdr:row>
      <xdr:rowOff>167308</xdr:rowOff>
    </xdr:to>
    <xdr:pic>
      <xdr:nvPicPr>
        <xdr:cNvPr id="33" name="Picture 32">
          <a:extLst>
            <a:ext uri="{FF2B5EF4-FFF2-40B4-BE49-F238E27FC236}">
              <a16:creationId xmlns:a16="http://schemas.microsoft.com/office/drawing/2014/main" id="{717A9259-3BB8-9EC3-BA7A-C7647FF6E221}"/>
            </a:ext>
          </a:extLst>
        </xdr:cNvPr>
        <xdr:cNvPicPr>
          <a:picLocks noChangeAspect="1"/>
        </xdr:cNvPicPr>
      </xdr:nvPicPr>
      <xdr:blipFill>
        <a:blip xmlns:r="http://schemas.openxmlformats.org/officeDocument/2006/relationships" r:embed="rId4"/>
        <a:stretch>
          <a:fillRect/>
        </a:stretch>
      </xdr:blipFill>
      <xdr:spPr>
        <a:xfrm>
          <a:off x="13502696506" y="35559999"/>
          <a:ext cx="1231900" cy="1282700"/>
        </a:xfrm>
        <a:prstGeom prst="rect">
          <a:avLst/>
        </a:prstGeom>
      </xdr:spPr>
    </xdr:pic>
    <xdr:clientData/>
  </xdr:twoCellAnchor>
  <xdr:twoCellAnchor>
    <xdr:from>
      <xdr:col>7</xdr:col>
      <xdr:colOff>338667</xdr:colOff>
      <xdr:row>181</xdr:row>
      <xdr:rowOff>150928</xdr:rowOff>
    </xdr:from>
    <xdr:to>
      <xdr:col>9</xdr:col>
      <xdr:colOff>555856</xdr:colOff>
      <xdr:row>186</xdr:row>
      <xdr:rowOff>132522</xdr:rowOff>
    </xdr:to>
    <xdr:sp macro="" textlink="">
      <xdr:nvSpPr>
        <xdr:cNvPr id="34" name="Rounded Rectangular Callout 33">
          <a:extLst>
            <a:ext uri="{FF2B5EF4-FFF2-40B4-BE49-F238E27FC236}">
              <a16:creationId xmlns:a16="http://schemas.microsoft.com/office/drawing/2014/main" id="{3DBE720F-452E-ABE5-4A08-58E33C015678}"/>
            </a:ext>
          </a:extLst>
        </xdr:cNvPr>
        <xdr:cNvSpPr/>
      </xdr:nvSpPr>
      <xdr:spPr>
        <a:xfrm>
          <a:off x="13501936898" y="36826319"/>
          <a:ext cx="1866348" cy="993913"/>
        </a:xfrm>
        <a:prstGeom prst="wedgeRoundRectCallout">
          <a:avLst>
            <a:gd name="adj1" fmla="val 11909"/>
            <a:gd name="adj2" fmla="val -5791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קצת</a:t>
          </a:r>
          <a:r>
            <a:rPr lang="he-IL" sz="1100" baseline="0"/>
            <a:t> משעמם כי כשאין הכנסה חייבת חיובית, בהגדרה אין מסים שוטפים, גם ללא כל הווג׳ה-עראס</a:t>
          </a:r>
          <a:endParaRPr lang="en-US" sz="1100"/>
        </a:p>
      </xdr:txBody>
    </xdr:sp>
    <xdr:clientData/>
  </xdr:twoCellAnchor>
  <xdr:twoCellAnchor>
    <xdr:from>
      <xdr:col>3</xdr:col>
      <xdr:colOff>574261</xdr:colOff>
      <xdr:row>198</xdr:row>
      <xdr:rowOff>114116</xdr:rowOff>
    </xdr:from>
    <xdr:to>
      <xdr:col>3</xdr:col>
      <xdr:colOff>820899</xdr:colOff>
      <xdr:row>198</xdr:row>
      <xdr:rowOff>117797</xdr:rowOff>
    </xdr:to>
    <xdr:cxnSp macro="">
      <xdr:nvCxnSpPr>
        <xdr:cNvPr id="36" name="Straight Connector 35">
          <a:extLst>
            <a:ext uri="{FF2B5EF4-FFF2-40B4-BE49-F238E27FC236}">
              <a16:creationId xmlns:a16="http://schemas.microsoft.com/office/drawing/2014/main" id="{5C6BBAC2-7477-B72E-D319-5C47C686EF98}"/>
            </a:ext>
          </a:extLst>
        </xdr:cNvPr>
        <xdr:cNvCxnSpPr/>
      </xdr:nvCxnSpPr>
      <xdr:spPr>
        <a:xfrm flipV="1">
          <a:off x="13506619333" y="39421536"/>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559536</xdr:colOff>
      <xdr:row>198</xdr:row>
      <xdr:rowOff>117797</xdr:rowOff>
    </xdr:from>
    <xdr:to>
      <xdr:col>3</xdr:col>
      <xdr:colOff>570581</xdr:colOff>
      <xdr:row>201</xdr:row>
      <xdr:rowOff>80985</xdr:rowOff>
    </xdr:to>
    <xdr:cxnSp macro="">
      <xdr:nvCxnSpPr>
        <xdr:cNvPr id="37" name="Straight Connector 36">
          <a:extLst>
            <a:ext uri="{FF2B5EF4-FFF2-40B4-BE49-F238E27FC236}">
              <a16:creationId xmlns:a16="http://schemas.microsoft.com/office/drawing/2014/main" id="{F895885A-1164-21BD-0CF2-448F72DFBBF2}"/>
            </a:ext>
          </a:extLst>
        </xdr:cNvPr>
        <xdr:cNvCxnSpPr/>
      </xdr:nvCxnSpPr>
      <xdr:spPr>
        <a:xfrm>
          <a:off x="13506869651" y="39425217"/>
          <a:ext cx="11045" cy="5705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559537</xdr:colOff>
      <xdr:row>201</xdr:row>
      <xdr:rowOff>73623</xdr:rowOff>
    </xdr:from>
    <xdr:to>
      <xdr:col>3</xdr:col>
      <xdr:colOff>806175</xdr:colOff>
      <xdr:row>201</xdr:row>
      <xdr:rowOff>77304</xdr:rowOff>
    </xdr:to>
    <xdr:cxnSp macro="">
      <xdr:nvCxnSpPr>
        <xdr:cNvPr id="39" name="Straight Connector 38">
          <a:extLst>
            <a:ext uri="{FF2B5EF4-FFF2-40B4-BE49-F238E27FC236}">
              <a16:creationId xmlns:a16="http://schemas.microsoft.com/office/drawing/2014/main" id="{F62B5D62-D3E6-7647-F347-EB4BCBF77400}"/>
            </a:ext>
          </a:extLst>
        </xdr:cNvPr>
        <xdr:cNvCxnSpPr/>
      </xdr:nvCxnSpPr>
      <xdr:spPr>
        <a:xfrm flipV="1">
          <a:off x="13506634057" y="39988435"/>
          <a:ext cx="246638" cy="36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470671</xdr:colOff>
      <xdr:row>197</xdr:row>
      <xdr:rowOff>82825</xdr:rowOff>
    </xdr:from>
    <xdr:to>
      <xdr:col>10</xdr:col>
      <xdr:colOff>1839</xdr:colOff>
      <xdr:row>198</xdr:row>
      <xdr:rowOff>150126</xdr:rowOff>
    </xdr:to>
    <xdr:sp macro="" textlink="">
      <xdr:nvSpPr>
        <xdr:cNvPr id="40" name="Right Brace 39">
          <a:extLst>
            <a:ext uri="{FF2B5EF4-FFF2-40B4-BE49-F238E27FC236}">
              <a16:creationId xmlns:a16="http://schemas.microsoft.com/office/drawing/2014/main" id="{0EAD8852-2D85-F07D-0C38-EE6B9C32593F}"/>
            </a:ext>
          </a:extLst>
        </xdr:cNvPr>
        <xdr:cNvSpPr/>
      </xdr:nvSpPr>
      <xdr:spPr>
        <a:xfrm rot="16200000">
          <a:off x="13487292394" y="38807953"/>
          <a:ext cx="270177" cy="1178516"/>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706007</xdr:colOff>
      <xdr:row>9</xdr:row>
      <xdr:rowOff>9880</xdr:rowOff>
    </xdr:from>
    <xdr:to>
      <xdr:col>8</xdr:col>
      <xdr:colOff>270068</xdr:colOff>
      <xdr:row>15</xdr:row>
      <xdr:rowOff>75615</xdr:rowOff>
    </xdr:to>
    <xdr:pic>
      <xdr:nvPicPr>
        <xdr:cNvPr id="41" name="Picture 40">
          <a:extLst>
            <a:ext uri="{FF2B5EF4-FFF2-40B4-BE49-F238E27FC236}">
              <a16:creationId xmlns:a16="http://schemas.microsoft.com/office/drawing/2014/main" id="{2062092E-0C3D-4F2B-E7D6-1118A7BD9FB5}"/>
            </a:ext>
          </a:extLst>
        </xdr:cNvPr>
        <xdr:cNvPicPr>
          <a:picLocks noChangeAspect="1"/>
        </xdr:cNvPicPr>
      </xdr:nvPicPr>
      <xdr:blipFill>
        <a:blip xmlns:r="http://schemas.openxmlformats.org/officeDocument/2006/relationships" r:embed="rId5"/>
        <a:stretch>
          <a:fillRect/>
        </a:stretch>
      </xdr:blipFill>
      <xdr:spPr>
        <a:xfrm>
          <a:off x="13488217344" y="1835759"/>
          <a:ext cx="2035083" cy="128298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2</xdr:col>
      <xdr:colOff>580754</xdr:colOff>
      <xdr:row>63</xdr:row>
      <xdr:rowOff>22336</xdr:rowOff>
    </xdr:from>
    <xdr:to>
      <xdr:col>3</xdr:col>
      <xdr:colOff>504172</xdr:colOff>
      <xdr:row>64</xdr:row>
      <xdr:rowOff>121256</xdr:rowOff>
    </xdr:to>
    <xdr:sp macro="" textlink="">
      <xdr:nvSpPr>
        <xdr:cNvPr id="2" name="Rectangle 1">
          <a:extLst>
            <a:ext uri="{FF2B5EF4-FFF2-40B4-BE49-F238E27FC236}">
              <a16:creationId xmlns:a16="http://schemas.microsoft.com/office/drawing/2014/main" id="{05CC92ED-095A-FD2C-C6D9-FA275AC9B46B}"/>
            </a:ext>
          </a:extLst>
        </xdr:cNvPr>
        <xdr:cNvSpPr/>
      </xdr:nvSpPr>
      <xdr:spPr>
        <a:xfrm>
          <a:off x="13537692637" y="8803844"/>
          <a:ext cx="749875" cy="3031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a:t>
          </a:r>
          <a:endParaRPr lang="en-US" sz="1100"/>
        </a:p>
      </xdr:txBody>
    </xdr:sp>
    <xdr:clientData/>
  </xdr:twoCellAnchor>
  <xdr:twoCellAnchor>
    <xdr:from>
      <xdr:col>2</xdr:col>
      <xdr:colOff>92537</xdr:colOff>
      <xdr:row>64</xdr:row>
      <xdr:rowOff>127638</xdr:rowOff>
    </xdr:from>
    <xdr:to>
      <xdr:col>2</xdr:col>
      <xdr:colOff>794547</xdr:colOff>
      <xdr:row>66</xdr:row>
      <xdr:rowOff>124447</xdr:rowOff>
    </xdr:to>
    <xdr:cxnSp macro="">
      <xdr:nvCxnSpPr>
        <xdr:cNvPr id="4" name="Straight Arrow Connector 3">
          <a:extLst>
            <a:ext uri="{FF2B5EF4-FFF2-40B4-BE49-F238E27FC236}">
              <a16:creationId xmlns:a16="http://schemas.microsoft.com/office/drawing/2014/main" id="{58028905-8C42-8037-E28B-52FCE8EF7CA0}"/>
            </a:ext>
          </a:extLst>
        </xdr:cNvPr>
        <xdr:cNvCxnSpPr/>
      </xdr:nvCxnSpPr>
      <xdr:spPr>
        <a:xfrm>
          <a:off x="13538228719" y="9113367"/>
          <a:ext cx="702010" cy="4052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248894</xdr:colOff>
      <xdr:row>64</xdr:row>
      <xdr:rowOff>137211</xdr:rowOff>
    </xdr:from>
    <xdr:to>
      <xdr:col>3</xdr:col>
      <xdr:colOff>797738</xdr:colOff>
      <xdr:row>66</xdr:row>
      <xdr:rowOff>137211</xdr:rowOff>
    </xdr:to>
    <xdr:cxnSp macro="">
      <xdr:nvCxnSpPr>
        <xdr:cNvPr id="5" name="Straight Arrow Connector 4">
          <a:extLst>
            <a:ext uri="{FF2B5EF4-FFF2-40B4-BE49-F238E27FC236}">
              <a16:creationId xmlns:a16="http://schemas.microsoft.com/office/drawing/2014/main" id="{14F749DA-4A6C-ED83-4468-04986E4714D1}"/>
            </a:ext>
          </a:extLst>
        </xdr:cNvPr>
        <xdr:cNvCxnSpPr/>
      </xdr:nvCxnSpPr>
      <xdr:spPr>
        <a:xfrm flipH="1">
          <a:off x="13537399071" y="9122940"/>
          <a:ext cx="548844" cy="4084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143594</xdr:colOff>
      <xdr:row>66</xdr:row>
      <xdr:rowOff>169122</xdr:rowOff>
    </xdr:from>
    <xdr:to>
      <xdr:col>2</xdr:col>
      <xdr:colOff>552035</xdr:colOff>
      <xdr:row>70</xdr:row>
      <xdr:rowOff>19146</xdr:rowOff>
    </xdr:to>
    <xdr:sp macro="" textlink="">
      <xdr:nvSpPr>
        <xdr:cNvPr id="7" name="Rectangle 6">
          <a:extLst>
            <a:ext uri="{FF2B5EF4-FFF2-40B4-BE49-F238E27FC236}">
              <a16:creationId xmlns:a16="http://schemas.microsoft.com/office/drawing/2014/main" id="{D498E166-D755-7886-F042-02EB8FDF6B85}"/>
            </a:ext>
          </a:extLst>
        </xdr:cNvPr>
        <xdr:cNvSpPr/>
      </xdr:nvSpPr>
      <xdr:spPr>
        <a:xfrm>
          <a:off x="13538471231" y="9563293"/>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שלא קיימת לגביהם הגבלה</a:t>
          </a:r>
          <a:endParaRPr lang="en-US" sz="1100"/>
        </a:p>
      </xdr:txBody>
    </xdr:sp>
    <xdr:clientData/>
  </xdr:twoCellAnchor>
  <xdr:twoCellAnchor>
    <xdr:from>
      <xdr:col>3</xdr:col>
      <xdr:colOff>536081</xdr:colOff>
      <xdr:row>66</xdr:row>
      <xdr:rowOff>185077</xdr:rowOff>
    </xdr:from>
    <xdr:to>
      <xdr:col>5</xdr:col>
      <xdr:colOff>118066</xdr:colOff>
      <xdr:row>70</xdr:row>
      <xdr:rowOff>35101</xdr:rowOff>
    </xdr:to>
    <xdr:sp macro="" textlink="">
      <xdr:nvSpPr>
        <xdr:cNvPr id="8" name="Rectangle 7">
          <a:extLst>
            <a:ext uri="{FF2B5EF4-FFF2-40B4-BE49-F238E27FC236}">
              <a16:creationId xmlns:a16="http://schemas.microsoft.com/office/drawing/2014/main" id="{8597295A-5F63-5EC7-D0FC-A5339C89FF1C}"/>
            </a:ext>
          </a:extLst>
        </xdr:cNvPr>
        <xdr:cNvSpPr/>
      </xdr:nvSpPr>
      <xdr:spPr>
        <a:xfrm>
          <a:off x="13536425829" y="9579248"/>
          <a:ext cx="1234899" cy="66690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נ״נ</a:t>
          </a:r>
        </a:p>
        <a:p>
          <a:pPr algn="ctr" rtl="1"/>
          <a:r>
            <a:rPr lang="he-IL" sz="1100"/>
            <a:t>שקיימת לגביהם הגבלה</a:t>
          </a:r>
          <a:endParaRPr lang="en-US" sz="1100"/>
        </a:p>
      </xdr:txBody>
    </xdr:sp>
    <xdr:clientData/>
  </xdr:twoCellAnchor>
  <xdr:twoCellAnchor>
    <xdr:from>
      <xdr:col>1</xdr:col>
      <xdr:colOff>264850</xdr:colOff>
      <xdr:row>70</xdr:row>
      <xdr:rowOff>19146</xdr:rowOff>
    </xdr:from>
    <xdr:to>
      <xdr:col>1</xdr:col>
      <xdr:colOff>730729</xdr:colOff>
      <xdr:row>74</xdr:row>
      <xdr:rowOff>3191</xdr:rowOff>
    </xdr:to>
    <xdr:cxnSp macro="">
      <xdr:nvCxnSpPr>
        <xdr:cNvPr id="9" name="Straight Arrow Connector 8">
          <a:extLst>
            <a:ext uri="{FF2B5EF4-FFF2-40B4-BE49-F238E27FC236}">
              <a16:creationId xmlns:a16="http://schemas.microsoft.com/office/drawing/2014/main" id="{9E86B456-79D7-A720-A35D-1B9411808A41}"/>
            </a:ext>
          </a:extLst>
        </xdr:cNvPr>
        <xdr:cNvCxnSpPr/>
      </xdr:nvCxnSpPr>
      <xdr:spPr>
        <a:xfrm>
          <a:off x="13539118995" y="10230201"/>
          <a:ext cx="465879" cy="8009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146784</xdr:colOff>
      <xdr:row>70</xdr:row>
      <xdr:rowOff>15955</xdr:rowOff>
    </xdr:from>
    <xdr:to>
      <xdr:col>2</xdr:col>
      <xdr:colOff>172311</xdr:colOff>
      <xdr:row>73</xdr:row>
      <xdr:rowOff>149974</xdr:rowOff>
    </xdr:to>
    <xdr:cxnSp macro="">
      <xdr:nvCxnSpPr>
        <xdr:cNvPr id="11" name="Straight Arrow Connector 10">
          <a:extLst>
            <a:ext uri="{FF2B5EF4-FFF2-40B4-BE49-F238E27FC236}">
              <a16:creationId xmlns:a16="http://schemas.microsoft.com/office/drawing/2014/main" id="{3BAA909E-CFA9-2445-3754-3D65607F298D}"/>
            </a:ext>
          </a:extLst>
        </xdr:cNvPr>
        <xdr:cNvCxnSpPr/>
      </xdr:nvCxnSpPr>
      <xdr:spPr>
        <a:xfrm>
          <a:off x="13538850955" y="10227010"/>
          <a:ext cx="25527" cy="746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418015</xdr:colOff>
      <xdr:row>70</xdr:row>
      <xdr:rowOff>38292</xdr:rowOff>
    </xdr:from>
    <xdr:to>
      <xdr:col>3</xdr:col>
      <xdr:colOff>57438</xdr:colOff>
      <xdr:row>73</xdr:row>
      <xdr:rowOff>146783</xdr:rowOff>
    </xdr:to>
    <xdr:cxnSp macro="">
      <xdr:nvCxnSpPr>
        <xdr:cNvPr id="13" name="Straight Arrow Connector 12">
          <a:extLst>
            <a:ext uri="{FF2B5EF4-FFF2-40B4-BE49-F238E27FC236}">
              <a16:creationId xmlns:a16="http://schemas.microsoft.com/office/drawing/2014/main" id="{F44B23A1-5E88-94FF-ECF6-D226F605F806}"/>
            </a:ext>
          </a:extLst>
        </xdr:cNvPr>
        <xdr:cNvCxnSpPr/>
      </xdr:nvCxnSpPr>
      <xdr:spPr>
        <a:xfrm flipH="1">
          <a:off x="13538139371" y="10249347"/>
          <a:ext cx="465880" cy="7211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268040</xdr:colOff>
      <xdr:row>161</xdr:row>
      <xdr:rowOff>3191</xdr:rowOff>
    </xdr:from>
    <xdr:to>
      <xdr:col>1</xdr:col>
      <xdr:colOff>373342</xdr:colOff>
      <xdr:row>163</xdr:row>
      <xdr:rowOff>41482</xdr:rowOff>
    </xdr:to>
    <xdr:sp macro="" textlink="">
      <xdr:nvSpPr>
        <xdr:cNvPr id="16" name="Rectangle 15">
          <a:extLst>
            <a:ext uri="{FF2B5EF4-FFF2-40B4-BE49-F238E27FC236}">
              <a16:creationId xmlns:a16="http://schemas.microsoft.com/office/drawing/2014/main" id="{7A4E552B-74EB-67D0-151A-DC4382211DB2}"/>
            </a:ext>
          </a:extLst>
        </xdr:cNvPr>
        <xdr:cNvSpPr/>
      </xdr:nvSpPr>
      <xdr:spPr>
        <a:xfrm>
          <a:off x="13539476382" y="25581884"/>
          <a:ext cx="931759"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מלכ״ר</a:t>
          </a:r>
          <a:r>
            <a:rPr lang="he-IL" sz="1100" baseline="0"/>
            <a:t> רכש רכוש קבוע</a:t>
          </a:r>
          <a:endParaRPr lang="en-US" sz="1100"/>
        </a:p>
      </xdr:txBody>
    </xdr:sp>
    <xdr:clientData/>
  </xdr:twoCellAnchor>
  <xdr:twoCellAnchor>
    <xdr:from>
      <xdr:col>1</xdr:col>
      <xdr:colOff>769019</xdr:colOff>
      <xdr:row>161</xdr:row>
      <xdr:rowOff>9573</xdr:rowOff>
    </xdr:from>
    <xdr:to>
      <xdr:col>3</xdr:col>
      <xdr:colOff>382914</xdr:colOff>
      <xdr:row>165</xdr:row>
      <xdr:rowOff>79774</xdr:rowOff>
    </xdr:to>
    <xdr:sp macro="" textlink="">
      <xdr:nvSpPr>
        <xdr:cNvPr id="17" name="Rectangle 16">
          <a:extLst>
            <a:ext uri="{FF2B5EF4-FFF2-40B4-BE49-F238E27FC236}">
              <a16:creationId xmlns:a16="http://schemas.microsoft.com/office/drawing/2014/main" id="{A065B833-93CA-D6CE-0814-DFCA25CAC94C}"/>
            </a:ext>
          </a:extLst>
        </xdr:cNvPr>
        <xdr:cNvSpPr/>
      </xdr:nvSpPr>
      <xdr:spPr>
        <a:xfrm>
          <a:off x="13537813895" y="25588266"/>
          <a:ext cx="1266810" cy="8870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ממיין את מלוא העלות לנ״נ לא מוגבלים ששימשו לרכוש קבוע</a:t>
          </a:r>
          <a:endParaRPr lang="en-US" sz="1100"/>
        </a:p>
      </xdr:txBody>
    </xdr:sp>
    <xdr:clientData/>
  </xdr:twoCellAnchor>
  <xdr:twoCellAnchor>
    <xdr:from>
      <xdr:col>3</xdr:col>
      <xdr:colOff>698819</xdr:colOff>
      <xdr:row>161</xdr:row>
      <xdr:rowOff>15955</xdr:rowOff>
    </xdr:from>
    <xdr:to>
      <xdr:col>5</xdr:col>
      <xdr:colOff>149975</xdr:colOff>
      <xdr:row>163</xdr:row>
      <xdr:rowOff>54246</xdr:rowOff>
    </xdr:to>
    <xdr:sp macro="" textlink="">
      <xdr:nvSpPr>
        <xdr:cNvPr id="18" name="Rectangle 17">
          <a:extLst>
            <a:ext uri="{FF2B5EF4-FFF2-40B4-BE49-F238E27FC236}">
              <a16:creationId xmlns:a16="http://schemas.microsoft.com/office/drawing/2014/main" id="{C6E54FAC-1533-F044-B631-D84D9C89BD9F}"/>
            </a:ext>
          </a:extLst>
        </xdr:cNvPr>
        <xdr:cNvSpPr/>
      </xdr:nvSpPr>
      <xdr:spPr>
        <a:xfrm>
          <a:off x="13536393920" y="25594648"/>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הוצאות פחת כנגד פחת נצבר</a:t>
          </a:r>
          <a:endParaRPr lang="en-US" sz="1100"/>
        </a:p>
      </xdr:txBody>
    </xdr:sp>
    <xdr:clientData/>
  </xdr:twoCellAnchor>
  <xdr:twoCellAnchor>
    <xdr:from>
      <xdr:col>5</xdr:col>
      <xdr:colOff>446734</xdr:colOff>
      <xdr:row>161</xdr:row>
      <xdr:rowOff>19146</xdr:rowOff>
    </xdr:from>
    <xdr:to>
      <xdr:col>6</xdr:col>
      <xdr:colOff>724346</xdr:colOff>
      <xdr:row>163</xdr:row>
      <xdr:rowOff>57437</xdr:rowOff>
    </xdr:to>
    <xdr:sp macro="" textlink="">
      <xdr:nvSpPr>
        <xdr:cNvPr id="19" name="Rectangle 18">
          <a:extLst>
            <a:ext uri="{FF2B5EF4-FFF2-40B4-BE49-F238E27FC236}">
              <a16:creationId xmlns:a16="http://schemas.microsoft.com/office/drawing/2014/main" id="{2DA9A51F-4570-A14F-2EF9-A760BEA742C2}"/>
            </a:ext>
          </a:extLst>
        </xdr:cNvPr>
        <xdr:cNvSpPr/>
      </xdr:nvSpPr>
      <xdr:spPr>
        <a:xfrm>
          <a:off x="13534993091" y="25597839"/>
          <a:ext cx="1104070" cy="4467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נזקפות לדוח על הפעילויות</a:t>
          </a:r>
          <a:endParaRPr lang="en-US" sz="1100"/>
        </a:p>
      </xdr:txBody>
    </xdr:sp>
    <xdr:clientData/>
  </xdr:twoCellAnchor>
  <xdr:twoCellAnchor>
    <xdr:from>
      <xdr:col>5</xdr:col>
      <xdr:colOff>507362</xdr:colOff>
      <xdr:row>166</xdr:row>
      <xdr:rowOff>121256</xdr:rowOff>
    </xdr:from>
    <xdr:to>
      <xdr:col>6</xdr:col>
      <xdr:colOff>756256</xdr:colOff>
      <xdr:row>169</xdr:row>
      <xdr:rowOff>197839</xdr:rowOff>
    </xdr:to>
    <xdr:sp macro="" textlink="">
      <xdr:nvSpPr>
        <xdr:cNvPr id="20" name="Rectangle 19">
          <a:extLst>
            <a:ext uri="{FF2B5EF4-FFF2-40B4-BE49-F238E27FC236}">
              <a16:creationId xmlns:a16="http://schemas.microsoft.com/office/drawing/2014/main" id="{5B558FE7-C0D8-DECE-AB74-9C02FA8C0C84}"/>
            </a:ext>
          </a:extLst>
        </xdr:cNvPr>
        <xdr:cNvSpPr/>
      </xdr:nvSpPr>
      <xdr:spPr>
        <a:xfrm>
          <a:off x="13534961181" y="26721055"/>
          <a:ext cx="1075352" cy="6892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ובאופן עקיף: לנ״נ לא מוגבלים שלא יועדו</a:t>
          </a:r>
          <a:endParaRPr lang="en-US" sz="1100"/>
        </a:p>
      </xdr:txBody>
    </xdr:sp>
    <xdr:clientData/>
  </xdr:twoCellAnchor>
  <xdr:twoCellAnchor>
    <xdr:from>
      <xdr:col>7</xdr:col>
      <xdr:colOff>181885</xdr:colOff>
      <xdr:row>166</xdr:row>
      <xdr:rowOff>92538</xdr:rowOff>
    </xdr:from>
    <xdr:to>
      <xdr:col>8</xdr:col>
      <xdr:colOff>433971</xdr:colOff>
      <xdr:row>170</xdr:row>
      <xdr:rowOff>35101</xdr:rowOff>
    </xdr:to>
    <xdr:sp macro="" textlink="">
      <xdr:nvSpPr>
        <xdr:cNvPr id="21" name="Rectangle 20">
          <a:extLst>
            <a:ext uri="{FF2B5EF4-FFF2-40B4-BE49-F238E27FC236}">
              <a16:creationId xmlns:a16="http://schemas.microsoft.com/office/drawing/2014/main" id="{1A36317A-E2B7-640D-8BE3-FB28035B3C05}"/>
            </a:ext>
          </a:extLst>
        </xdr:cNvPr>
        <xdr:cNvSpPr/>
      </xdr:nvSpPr>
      <xdr:spPr>
        <a:xfrm>
          <a:off x="13533630552" y="26692337"/>
          <a:ext cx="1078543" cy="75944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מיון של הקטנה זו לנ״נ לא מוגבלים </a:t>
          </a:r>
        </a:p>
        <a:p>
          <a:pPr algn="r" rtl="1"/>
          <a:r>
            <a:rPr lang="he-IL" sz="1100"/>
            <a:t>ששימשו לר״ק</a:t>
          </a:r>
          <a:endParaRPr lang="en-US" sz="1100"/>
        </a:p>
      </xdr:txBody>
    </xdr:sp>
    <xdr:clientData/>
  </xdr:twoCellAnchor>
  <xdr:twoCellAnchor>
    <xdr:from>
      <xdr:col>1</xdr:col>
      <xdr:colOff>507362</xdr:colOff>
      <xdr:row>161</xdr:row>
      <xdr:rowOff>149976</xdr:rowOff>
    </xdr:from>
    <xdr:to>
      <xdr:col>1</xdr:col>
      <xdr:colOff>733920</xdr:colOff>
      <xdr:row>162</xdr:row>
      <xdr:rowOff>121257</xdr:rowOff>
    </xdr:to>
    <xdr:sp macro="" textlink="">
      <xdr:nvSpPr>
        <xdr:cNvPr id="23" name="Down Arrow 22">
          <a:extLst>
            <a:ext uri="{FF2B5EF4-FFF2-40B4-BE49-F238E27FC236}">
              <a16:creationId xmlns:a16="http://schemas.microsoft.com/office/drawing/2014/main" id="{ECA6C478-1B52-AC46-6EFE-A88B37CA8AC6}"/>
            </a:ext>
          </a:extLst>
        </xdr:cNvPr>
        <xdr:cNvSpPr/>
      </xdr:nvSpPr>
      <xdr:spPr>
        <a:xfrm rot="5400000">
          <a:off x="13539141331" y="25703142"/>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437160</xdr:colOff>
      <xdr:row>161</xdr:row>
      <xdr:rowOff>188269</xdr:rowOff>
    </xdr:from>
    <xdr:to>
      <xdr:col>3</xdr:col>
      <xdr:colOff>663718</xdr:colOff>
      <xdr:row>162</xdr:row>
      <xdr:rowOff>159550</xdr:rowOff>
    </xdr:to>
    <xdr:sp macro="" textlink="">
      <xdr:nvSpPr>
        <xdr:cNvPr id="24" name="Down Arrow 23">
          <a:extLst>
            <a:ext uri="{FF2B5EF4-FFF2-40B4-BE49-F238E27FC236}">
              <a16:creationId xmlns:a16="http://schemas.microsoft.com/office/drawing/2014/main" id="{13542074-37FA-ABCD-2BFA-F93549DBF7BA}"/>
            </a:ext>
          </a:extLst>
        </xdr:cNvPr>
        <xdr:cNvSpPr/>
      </xdr:nvSpPr>
      <xdr:spPr>
        <a:xfrm rot="5400000">
          <a:off x="13537558618" y="25741435"/>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194648</xdr:colOff>
      <xdr:row>161</xdr:row>
      <xdr:rowOff>188270</xdr:rowOff>
    </xdr:from>
    <xdr:to>
      <xdr:col>5</xdr:col>
      <xdr:colOff>421206</xdr:colOff>
      <xdr:row>162</xdr:row>
      <xdr:rowOff>159551</xdr:rowOff>
    </xdr:to>
    <xdr:sp macro="" textlink="">
      <xdr:nvSpPr>
        <xdr:cNvPr id="25" name="Down Arrow 24">
          <a:extLst>
            <a:ext uri="{FF2B5EF4-FFF2-40B4-BE49-F238E27FC236}">
              <a16:creationId xmlns:a16="http://schemas.microsoft.com/office/drawing/2014/main" id="{DFBAE2C1-A388-1713-A522-ACEE42B38B73}"/>
            </a:ext>
          </a:extLst>
        </xdr:cNvPr>
        <xdr:cNvSpPr/>
      </xdr:nvSpPr>
      <xdr:spPr>
        <a:xfrm rot="5400000">
          <a:off x="13536148216" y="25741436"/>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38291</xdr:colOff>
      <xdr:row>163</xdr:row>
      <xdr:rowOff>105301</xdr:rowOff>
    </xdr:from>
    <xdr:to>
      <xdr:col>6</xdr:col>
      <xdr:colOff>216985</xdr:colOff>
      <xdr:row>166</xdr:row>
      <xdr:rowOff>54245</xdr:rowOff>
    </xdr:to>
    <xdr:sp macro="" textlink="">
      <xdr:nvSpPr>
        <xdr:cNvPr id="26" name="Down Arrow 25">
          <a:extLst>
            <a:ext uri="{FF2B5EF4-FFF2-40B4-BE49-F238E27FC236}">
              <a16:creationId xmlns:a16="http://schemas.microsoft.com/office/drawing/2014/main" id="{D2EC3765-A4A7-379F-341B-7E055D2AF00A}"/>
            </a:ext>
          </a:extLst>
        </xdr:cNvPr>
        <xdr:cNvSpPr/>
      </xdr:nvSpPr>
      <xdr:spPr>
        <a:xfrm>
          <a:off x="13535500452" y="26092437"/>
          <a:ext cx="178694" cy="56160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788165</xdr:colOff>
      <xdr:row>167</xdr:row>
      <xdr:rowOff>159548</xdr:rowOff>
    </xdr:from>
    <xdr:to>
      <xdr:col>7</xdr:col>
      <xdr:colOff>188266</xdr:colOff>
      <xdr:row>168</xdr:row>
      <xdr:rowOff>130830</xdr:rowOff>
    </xdr:to>
    <xdr:sp macro="" textlink="">
      <xdr:nvSpPr>
        <xdr:cNvPr id="27" name="Down Arrow 26">
          <a:extLst>
            <a:ext uri="{FF2B5EF4-FFF2-40B4-BE49-F238E27FC236}">
              <a16:creationId xmlns:a16="http://schemas.microsoft.com/office/drawing/2014/main" id="{C0C657EB-6F57-3E61-E5F1-A927CEE4E1B1}"/>
            </a:ext>
          </a:extLst>
        </xdr:cNvPr>
        <xdr:cNvSpPr/>
      </xdr:nvSpPr>
      <xdr:spPr>
        <a:xfrm rot="5400000">
          <a:off x="13534728241" y="26938041"/>
          <a:ext cx="175503" cy="2265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417438</xdr:colOff>
      <xdr:row>207</xdr:row>
      <xdr:rowOff>88440</xdr:rowOff>
    </xdr:from>
    <xdr:to>
      <xdr:col>4</xdr:col>
      <xdr:colOff>520028</xdr:colOff>
      <xdr:row>208</xdr:row>
      <xdr:rowOff>63677</xdr:rowOff>
    </xdr:to>
    <xdr:sp macro="" textlink="">
      <xdr:nvSpPr>
        <xdr:cNvPr id="28" name="Down Arrow 27">
          <a:extLst>
            <a:ext uri="{FF2B5EF4-FFF2-40B4-BE49-F238E27FC236}">
              <a16:creationId xmlns:a16="http://schemas.microsoft.com/office/drawing/2014/main" id="{B75945BA-1B52-7BAA-2856-85D642DEFE15}"/>
            </a:ext>
          </a:extLst>
        </xdr:cNvPr>
        <xdr:cNvSpPr/>
      </xdr:nvSpPr>
      <xdr:spPr>
        <a:xfrm>
          <a:off x="13500888886" y="33897326"/>
          <a:ext cx="102590" cy="1768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381000</xdr:colOff>
      <xdr:row>39</xdr:row>
      <xdr:rowOff>165100</xdr:rowOff>
    </xdr:from>
    <xdr:to>
      <xdr:col>5</xdr:col>
      <xdr:colOff>765174</xdr:colOff>
      <xdr:row>41</xdr:row>
      <xdr:rowOff>114300</xdr:rowOff>
    </xdr:to>
    <xdr:sp macro="" textlink="">
      <xdr:nvSpPr>
        <xdr:cNvPr id="3" name="Rounded Rectangle 2">
          <a:extLst>
            <a:ext uri="{FF2B5EF4-FFF2-40B4-BE49-F238E27FC236}">
              <a16:creationId xmlns:a16="http://schemas.microsoft.com/office/drawing/2014/main" id="{167963EA-ECDC-47E0-02EC-01CD7AE3C5DD}"/>
            </a:ext>
          </a:extLst>
        </xdr:cNvPr>
        <xdr:cNvSpPr/>
      </xdr:nvSpPr>
      <xdr:spPr>
        <a:xfrm>
          <a:off x="13520099326" y="8089900"/>
          <a:ext cx="2860674" cy="3556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במלכ״ר</a:t>
          </a:r>
          <a:endParaRPr lang="en-US" sz="1100"/>
        </a:p>
      </xdr:txBody>
    </xdr:sp>
    <xdr:clientData/>
  </xdr:twoCellAnchor>
  <xdr:twoCellAnchor>
    <xdr:from>
      <xdr:col>3</xdr:col>
      <xdr:colOff>19050</xdr:colOff>
      <xdr:row>41</xdr:row>
      <xdr:rowOff>136525</xdr:rowOff>
    </xdr:from>
    <xdr:to>
      <xdr:col>3</xdr:col>
      <xdr:colOff>187325</xdr:colOff>
      <xdr:row>43</xdr:row>
      <xdr:rowOff>161925</xdr:rowOff>
    </xdr:to>
    <xdr:sp macro="" textlink="">
      <xdr:nvSpPr>
        <xdr:cNvPr id="6" name="Down Arrow 5">
          <a:extLst>
            <a:ext uri="{FF2B5EF4-FFF2-40B4-BE49-F238E27FC236}">
              <a16:creationId xmlns:a16="http://schemas.microsoft.com/office/drawing/2014/main" id="{73BC7866-586B-5FC1-AB48-34B93DA2A5C3}"/>
            </a:ext>
          </a:extLst>
        </xdr:cNvPr>
        <xdr:cNvSpPr/>
      </xdr:nvSpPr>
      <xdr:spPr>
        <a:xfrm>
          <a:off x="13522328175" y="84677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53976</xdr:colOff>
      <xdr:row>43</xdr:row>
      <xdr:rowOff>171449</xdr:rowOff>
    </xdr:from>
    <xdr:to>
      <xdr:col>4</xdr:col>
      <xdr:colOff>82550</xdr:colOff>
      <xdr:row>46</xdr:row>
      <xdr:rowOff>142874</xdr:rowOff>
    </xdr:to>
    <xdr:sp macro="" textlink="">
      <xdr:nvSpPr>
        <xdr:cNvPr id="10" name="Rounded Rectangle 9">
          <a:extLst>
            <a:ext uri="{FF2B5EF4-FFF2-40B4-BE49-F238E27FC236}">
              <a16:creationId xmlns:a16="http://schemas.microsoft.com/office/drawing/2014/main" id="{18DE5CEA-9A87-58BA-D092-F0A87BFD710F}"/>
            </a:ext>
          </a:extLst>
        </xdr:cNvPr>
        <xdr:cNvSpPr/>
      </xdr:nvSpPr>
      <xdr:spPr>
        <a:xfrm>
          <a:off x="13521607450" y="8909049"/>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שלא קיימת </a:t>
          </a:r>
        </a:p>
        <a:p>
          <a:pPr algn="ctr" rtl="1"/>
          <a:r>
            <a:rPr lang="he-IL" sz="1100"/>
            <a:t>לגביהם הגבלה</a:t>
          </a:r>
          <a:endParaRPr lang="en-US" sz="1100"/>
        </a:p>
      </xdr:txBody>
    </xdr:sp>
    <xdr:clientData/>
  </xdr:twoCellAnchor>
  <xdr:twoCellAnchor>
    <xdr:from>
      <xdr:col>4</xdr:col>
      <xdr:colOff>330201</xdr:colOff>
      <xdr:row>43</xdr:row>
      <xdr:rowOff>174624</xdr:rowOff>
    </xdr:from>
    <xdr:to>
      <xdr:col>6</xdr:col>
      <xdr:colOff>358775</xdr:colOff>
      <xdr:row>46</xdr:row>
      <xdr:rowOff>146049</xdr:rowOff>
    </xdr:to>
    <xdr:sp macro="" textlink="">
      <xdr:nvSpPr>
        <xdr:cNvPr id="12" name="Rounded Rectangle 11">
          <a:extLst>
            <a:ext uri="{FF2B5EF4-FFF2-40B4-BE49-F238E27FC236}">
              <a16:creationId xmlns:a16="http://schemas.microsoft.com/office/drawing/2014/main" id="{C2A75F8A-06E8-EDDA-610E-6780D7BD6F8A}"/>
            </a:ext>
          </a:extLst>
        </xdr:cNvPr>
        <xdr:cNvSpPr/>
      </xdr:nvSpPr>
      <xdr:spPr>
        <a:xfrm>
          <a:off x="13519680225" y="8912224"/>
          <a:ext cx="1679574" cy="5810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נכסים נטו שקיימת </a:t>
          </a:r>
        </a:p>
        <a:p>
          <a:pPr algn="ctr" rtl="1"/>
          <a:r>
            <a:rPr lang="he-IL" sz="1100"/>
            <a:t>לגביהם הגבלה</a:t>
          </a:r>
          <a:endParaRPr lang="en-US" sz="1100"/>
        </a:p>
      </xdr:txBody>
    </xdr:sp>
    <xdr:clientData/>
  </xdr:twoCellAnchor>
  <xdr:twoCellAnchor>
    <xdr:from>
      <xdr:col>5</xdr:col>
      <xdr:colOff>133350</xdr:colOff>
      <xdr:row>41</xdr:row>
      <xdr:rowOff>149225</xdr:rowOff>
    </xdr:from>
    <xdr:to>
      <xdr:col>5</xdr:col>
      <xdr:colOff>301625</xdr:colOff>
      <xdr:row>43</xdr:row>
      <xdr:rowOff>174625</xdr:rowOff>
    </xdr:to>
    <xdr:sp macro="" textlink="">
      <xdr:nvSpPr>
        <xdr:cNvPr id="14" name="Down Arrow 13">
          <a:extLst>
            <a:ext uri="{FF2B5EF4-FFF2-40B4-BE49-F238E27FC236}">
              <a16:creationId xmlns:a16="http://schemas.microsoft.com/office/drawing/2014/main" id="{69C7721E-0BD5-C1BB-B20C-ADBC16C417C0}"/>
            </a:ext>
          </a:extLst>
        </xdr:cNvPr>
        <xdr:cNvSpPr/>
      </xdr:nvSpPr>
      <xdr:spPr>
        <a:xfrm>
          <a:off x="13520562875" y="8480425"/>
          <a:ext cx="168275" cy="4318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787400</xdr:colOff>
      <xdr:row>46</xdr:row>
      <xdr:rowOff>142875</xdr:rowOff>
    </xdr:from>
    <xdr:to>
      <xdr:col>3</xdr:col>
      <xdr:colOff>133350</xdr:colOff>
      <xdr:row>48</xdr:row>
      <xdr:rowOff>3175</xdr:rowOff>
    </xdr:to>
    <xdr:sp macro="" textlink="">
      <xdr:nvSpPr>
        <xdr:cNvPr id="15" name="Down Arrow 14">
          <a:extLst>
            <a:ext uri="{FF2B5EF4-FFF2-40B4-BE49-F238E27FC236}">
              <a16:creationId xmlns:a16="http://schemas.microsoft.com/office/drawing/2014/main" id="{BCEDC0C0-385C-93B3-FB6B-A1BB30B306A2}"/>
            </a:ext>
          </a:extLst>
        </xdr:cNvPr>
        <xdr:cNvSpPr/>
      </xdr:nvSpPr>
      <xdr:spPr>
        <a:xfrm>
          <a:off x="13522382150" y="9490075"/>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368300</xdr:colOff>
      <xdr:row>48</xdr:row>
      <xdr:rowOff>41274</xdr:rowOff>
    </xdr:from>
    <xdr:to>
      <xdr:col>4</xdr:col>
      <xdr:colOff>120650</xdr:colOff>
      <xdr:row>52</xdr:row>
      <xdr:rowOff>88899</xdr:rowOff>
    </xdr:to>
    <xdr:sp macro="" textlink="">
      <xdr:nvSpPr>
        <xdr:cNvPr id="22" name="Rounded Rectangle 21">
          <a:extLst>
            <a:ext uri="{FF2B5EF4-FFF2-40B4-BE49-F238E27FC236}">
              <a16:creationId xmlns:a16="http://schemas.microsoft.com/office/drawing/2014/main" id="{E3EF226E-0833-C053-222A-B2547F9EE008}"/>
            </a:ext>
          </a:extLst>
        </xdr:cNvPr>
        <xdr:cNvSpPr/>
      </xdr:nvSpPr>
      <xdr:spPr>
        <a:xfrm>
          <a:off x="13521569350" y="9794874"/>
          <a:ext cx="2228850" cy="8604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הדוח על הפעילויות:</a:t>
          </a:r>
        </a:p>
        <a:p>
          <a:pPr algn="ctr" rtl="1"/>
          <a:r>
            <a:rPr lang="he-IL" sz="1100"/>
            <a:t>הכנסות +</a:t>
          </a:r>
        </a:p>
        <a:p>
          <a:pPr algn="ctr" rtl="1"/>
          <a:r>
            <a:rPr lang="he-IL" sz="1100"/>
            <a:t>הוצאות (-)</a:t>
          </a:r>
        </a:p>
        <a:p>
          <a:pPr algn="ctr" rtl="1"/>
          <a:r>
            <a:rPr lang="he-IL" sz="1100"/>
            <a:t>שחרור מהגבלה</a:t>
          </a:r>
          <a:r>
            <a:rPr lang="he-IL" sz="1100" baseline="0"/>
            <a:t> (״הכנסה״) +</a:t>
          </a:r>
          <a:endParaRPr lang="en-US" sz="1100"/>
        </a:p>
      </xdr:txBody>
    </xdr:sp>
    <xdr:clientData/>
  </xdr:twoCellAnchor>
  <xdr:twoCellAnchor>
    <xdr:from>
      <xdr:col>5</xdr:col>
      <xdr:colOff>117475</xdr:colOff>
      <xdr:row>46</xdr:row>
      <xdr:rowOff>152400</xdr:rowOff>
    </xdr:from>
    <xdr:to>
      <xdr:col>5</xdr:col>
      <xdr:colOff>288925</xdr:colOff>
      <xdr:row>48</xdr:row>
      <xdr:rowOff>12700</xdr:rowOff>
    </xdr:to>
    <xdr:sp macro="" textlink="">
      <xdr:nvSpPr>
        <xdr:cNvPr id="29" name="Down Arrow 28">
          <a:extLst>
            <a:ext uri="{FF2B5EF4-FFF2-40B4-BE49-F238E27FC236}">
              <a16:creationId xmlns:a16="http://schemas.microsoft.com/office/drawing/2014/main" id="{45779EC1-C007-30AA-241A-3DF9807DED24}"/>
            </a:ext>
          </a:extLst>
        </xdr:cNvPr>
        <xdr:cNvSpPr/>
      </xdr:nvSpPr>
      <xdr:spPr>
        <a:xfrm>
          <a:off x="13520575575" y="9499600"/>
          <a:ext cx="171450" cy="2667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368301</xdr:colOff>
      <xdr:row>48</xdr:row>
      <xdr:rowOff>41273</xdr:rowOff>
    </xdr:from>
    <xdr:to>
      <xdr:col>6</xdr:col>
      <xdr:colOff>650875</xdr:colOff>
      <xdr:row>52</xdr:row>
      <xdr:rowOff>98424</xdr:rowOff>
    </xdr:to>
    <xdr:sp macro="" textlink="">
      <xdr:nvSpPr>
        <xdr:cNvPr id="30" name="Rounded Rectangle 29">
          <a:extLst>
            <a:ext uri="{FF2B5EF4-FFF2-40B4-BE49-F238E27FC236}">
              <a16:creationId xmlns:a16="http://schemas.microsoft.com/office/drawing/2014/main" id="{36373B60-DC23-CB99-B0C6-7ACE8BB2DB81}"/>
            </a:ext>
          </a:extLst>
        </xdr:cNvPr>
        <xdr:cNvSpPr/>
      </xdr:nvSpPr>
      <xdr:spPr>
        <a:xfrm>
          <a:off x="13519388125" y="9794873"/>
          <a:ext cx="1933574" cy="8699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u="sng"/>
            <a:t>דוח על השינויים בנכסים נטו</a:t>
          </a:r>
        </a:p>
        <a:p>
          <a:pPr algn="ctr" rtl="1"/>
          <a:r>
            <a:rPr lang="he-IL" sz="1100"/>
            <a:t>תקבולים מוגבלים +</a:t>
          </a:r>
        </a:p>
        <a:p>
          <a:pPr algn="ctr" rtl="1"/>
          <a:r>
            <a:rPr lang="he-IL" sz="1100"/>
            <a:t>שחרור מהגבלה (-)</a:t>
          </a:r>
        </a:p>
        <a:p>
          <a:pPr algn="ctr" rtl="1"/>
          <a:endParaRPr lang="en-US" sz="1100"/>
        </a:p>
      </xdr:txBody>
    </xdr:sp>
    <xdr:clientData/>
  </xdr:twoCellAnchor>
  <xdr:twoCellAnchor>
    <xdr:from>
      <xdr:col>2</xdr:col>
      <xdr:colOff>641350</xdr:colOff>
      <xdr:row>52</xdr:row>
      <xdr:rowOff>98425</xdr:rowOff>
    </xdr:from>
    <xdr:to>
      <xdr:col>5</xdr:col>
      <xdr:colOff>339725</xdr:colOff>
      <xdr:row>55</xdr:row>
      <xdr:rowOff>127002</xdr:rowOff>
    </xdr:to>
    <xdr:sp macro="" textlink="">
      <xdr:nvSpPr>
        <xdr:cNvPr id="31" name="Freeform 30">
          <a:extLst>
            <a:ext uri="{FF2B5EF4-FFF2-40B4-BE49-F238E27FC236}">
              <a16:creationId xmlns:a16="http://schemas.microsoft.com/office/drawing/2014/main" id="{43962AEA-A616-C9F8-4A5B-B5C320953F96}"/>
            </a:ext>
          </a:extLst>
        </xdr:cNvPr>
        <xdr:cNvSpPr/>
      </xdr:nvSpPr>
      <xdr:spPr>
        <a:xfrm>
          <a:off x="13520524775" y="10664825"/>
          <a:ext cx="2174875" cy="638177"/>
        </a:xfrm>
        <a:custGeom>
          <a:avLst/>
          <a:gdLst>
            <a:gd name="connsiteX0" fmla="*/ 2174875 w 2174875"/>
            <a:gd name="connsiteY0" fmla="*/ 0 h 638177"/>
            <a:gd name="connsiteX1" fmla="*/ 1133475 w 2174875"/>
            <a:gd name="connsiteY1" fmla="*/ 638175 h 638177"/>
            <a:gd name="connsiteX2" fmla="*/ 0 w 2174875"/>
            <a:gd name="connsiteY2" fmla="*/ 6350 h 638177"/>
          </a:gdLst>
          <a:ahLst/>
          <a:cxnLst>
            <a:cxn ang="0">
              <a:pos x="connsiteX0" y="connsiteY0"/>
            </a:cxn>
            <a:cxn ang="0">
              <a:pos x="connsiteX1" y="connsiteY1"/>
            </a:cxn>
            <a:cxn ang="0">
              <a:pos x="connsiteX2" y="connsiteY2"/>
            </a:cxn>
          </a:cxnLst>
          <a:rect l="l" t="t" r="r" b="b"/>
          <a:pathLst>
            <a:path w="2174875" h="638177">
              <a:moveTo>
                <a:pt x="2174875" y="0"/>
              </a:moveTo>
              <a:cubicBezTo>
                <a:pt x="1835414" y="318558"/>
                <a:pt x="1495954" y="637117"/>
                <a:pt x="1133475" y="638175"/>
              </a:cubicBezTo>
              <a:cubicBezTo>
                <a:pt x="770996" y="639233"/>
                <a:pt x="385498" y="322791"/>
                <a:pt x="0" y="63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434473</xdr:colOff>
      <xdr:row>128</xdr:row>
      <xdr:rowOff>163763</xdr:rowOff>
    </xdr:from>
    <xdr:to>
      <xdr:col>6</xdr:col>
      <xdr:colOff>13368</xdr:colOff>
      <xdr:row>131</xdr:row>
      <xdr:rowOff>173788</xdr:rowOff>
    </xdr:to>
    <xdr:sp macro="" textlink="">
      <xdr:nvSpPr>
        <xdr:cNvPr id="32" name="Rectangle 31">
          <a:extLst>
            <a:ext uri="{FF2B5EF4-FFF2-40B4-BE49-F238E27FC236}">
              <a16:creationId xmlns:a16="http://schemas.microsoft.com/office/drawing/2014/main" id="{C588299A-697A-B670-A851-0D3C9A14BE74}"/>
            </a:ext>
          </a:extLst>
        </xdr:cNvPr>
        <xdr:cNvSpPr/>
      </xdr:nvSpPr>
      <xdr:spPr>
        <a:xfrm>
          <a:off x="13520025632" y="26339131"/>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150,000</a:t>
          </a:r>
          <a:endParaRPr lang="en-US" sz="1100"/>
        </a:p>
      </xdr:txBody>
    </xdr:sp>
    <xdr:clientData/>
  </xdr:twoCellAnchor>
  <xdr:twoCellAnchor>
    <xdr:from>
      <xdr:col>2</xdr:col>
      <xdr:colOff>558133</xdr:colOff>
      <xdr:row>130</xdr:row>
      <xdr:rowOff>170448</xdr:rowOff>
    </xdr:from>
    <xdr:to>
      <xdr:col>4</xdr:col>
      <xdr:colOff>411080</xdr:colOff>
      <xdr:row>131</xdr:row>
      <xdr:rowOff>116973</xdr:rowOff>
    </xdr:to>
    <xdr:sp macro="" textlink="">
      <xdr:nvSpPr>
        <xdr:cNvPr id="33" name="Right Arrow 32">
          <a:extLst>
            <a:ext uri="{FF2B5EF4-FFF2-40B4-BE49-F238E27FC236}">
              <a16:creationId xmlns:a16="http://schemas.microsoft.com/office/drawing/2014/main" id="{3ABF9F60-753A-1AE6-9C92-EB390F207A5A}"/>
            </a:ext>
          </a:extLst>
        </xdr:cNvPr>
        <xdr:cNvSpPr/>
      </xdr:nvSpPr>
      <xdr:spPr>
        <a:xfrm>
          <a:off x="13521278920" y="26753553"/>
          <a:ext cx="1503947" cy="150394"/>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66841</xdr:colOff>
      <xdr:row>128</xdr:row>
      <xdr:rowOff>160420</xdr:rowOff>
    </xdr:from>
    <xdr:to>
      <xdr:col>2</xdr:col>
      <xdr:colOff>471236</xdr:colOff>
      <xdr:row>131</xdr:row>
      <xdr:rowOff>170445</xdr:rowOff>
    </xdr:to>
    <xdr:sp macro="" textlink="">
      <xdr:nvSpPr>
        <xdr:cNvPr id="34" name="Rectangle 33">
          <a:extLst>
            <a:ext uri="{FF2B5EF4-FFF2-40B4-BE49-F238E27FC236}">
              <a16:creationId xmlns:a16="http://schemas.microsoft.com/office/drawing/2014/main" id="{20B8A5CF-960D-5552-F152-1BFBEC5104B1}"/>
            </a:ext>
          </a:extLst>
        </xdr:cNvPr>
        <xdr:cNvSpPr/>
      </xdr:nvSpPr>
      <xdr:spPr>
        <a:xfrm>
          <a:off x="13522869764" y="26335788"/>
          <a:ext cx="1229895" cy="6216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a:t>
          </a:r>
          <a:r>
            <a:rPr lang="he-IL" sz="1100" baseline="0"/>
            <a:t> לר״ק 120,000</a:t>
          </a:r>
          <a:endParaRPr lang="en-US" sz="1100"/>
        </a:p>
      </xdr:txBody>
    </xdr:sp>
    <xdr:clientData/>
  </xdr:twoCellAnchor>
  <xdr:twoCellAnchor>
    <xdr:from>
      <xdr:col>1</xdr:col>
      <xdr:colOff>66842</xdr:colOff>
      <xdr:row>131</xdr:row>
      <xdr:rowOff>167104</xdr:rowOff>
    </xdr:from>
    <xdr:to>
      <xdr:col>2</xdr:col>
      <xdr:colOff>474578</xdr:colOff>
      <xdr:row>134</xdr:row>
      <xdr:rowOff>63501</xdr:rowOff>
    </xdr:to>
    <xdr:sp macro="" textlink="">
      <xdr:nvSpPr>
        <xdr:cNvPr id="35" name="Rectangle 34">
          <a:extLst>
            <a:ext uri="{FF2B5EF4-FFF2-40B4-BE49-F238E27FC236}">
              <a16:creationId xmlns:a16="http://schemas.microsoft.com/office/drawing/2014/main" id="{5C30C5F8-7538-907A-A33D-EC2A91650559}"/>
            </a:ext>
          </a:extLst>
        </xdr:cNvPr>
        <xdr:cNvSpPr/>
      </xdr:nvSpPr>
      <xdr:spPr>
        <a:xfrm>
          <a:off x="13522866422" y="26954078"/>
          <a:ext cx="1233236" cy="5080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שלא יועדו 30,000</a:t>
          </a:r>
          <a:endParaRPr lang="en-US" sz="1100"/>
        </a:p>
      </xdr:txBody>
    </xdr:sp>
    <xdr:clientData/>
  </xdr:twoCellAnchor>
  <xdr:twoCellAnchor>
    <xdr:from>
      <xdr:col>4</xdr:col>
      <xdr:colOff>437815</xdr:colOff>
      <xdr:row>131</xdr:row>
      <xdr:rowOff>183815</xdr:rowOff>
    </xdr:from>
    <xdr:to>
      <xdr:col>6</xdr:col>
      <xdr:colOff>16710</xdr:colOff>
      <xdr:row>134</xdr:row>
      <xdr:rowOff>83553</xdr:rowOff>
    </xdr:to>
    <xdr:sp macro="" textlink="">
      <xdr:nvSpPr>
        <xdr:cNvPr id="37" name="Rectangle 36">
          <a:extLst>
            <a:ext uri="{FF2B5EF4-FFF2-40B4-BE49-F238E27FC236}">
              <a16:creationId xmlns:a16="http://schemas.microsoft.com/office/drawing/2014/main" id="{463C6741-026B-587F-22E1-8424657A9932}"/>
            </a:ext>
          </a:extLst>
        </xdr:cNvPr>
        <xdr:cNvSpPr/>
      </xdr:nvSpPr>
      <xdr:spPr>
        <a:xfrm>
          <a:off x="13520022290" y="26970789"/>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 מוגבלים ששימשו לר״ק 0</a:t>
          </a:r>
          <a:endParaRPr lang="en-US" sz="1100"/>
        </a:p>
      </xdr:txBody>
    </xdr:sp>
    <xdr:clientData/>
  </xdr:twoCellAnchor>
  <xdr:twoCellAnchor>
    <xdr:from>
      <xdr:col>4</xdr:col>
      <xdr:colOff>437815</xdr:colOff>
      <xdr:row>134</xdr:row>
      <xdr:rowOff>86894</xdr:rowOff>
    </xdr:from>
    <xdr:to>
      <xdr:col>6</xdr:col>
      <xdr:colOff>16710</xdr:colOff>
      <xdr:row>136</xdr:row>
      <xdr:rowOff>190500</xdr:rowOff>
    </xdr:to>
    <xdr:sp macro="" textlink="">
      <xdr:nvSpPr>
        <xdr:cNvPr id="38" name="Rectangle 37">
          <a:extLst>
            <a:ext uri="{FF2B5EF4-FFF2-40B4-BE49-F238E27FC236}">
              <a16:creationId xmlns:a16="http://schemas.microsoft.com/office/drawing/2014/main" id="{9E7D8D8D-05BA-A392-51A2-BA64C2A896DF}"/>
            </a:ext>
          </a:extLst>
        </xdr:cNvPr>
        <xdr:cNvSpPr/>
      </xdr:nvSpPr>
      <xdr:spPr>
        <a:xfrm>
          <a:off x="13520022290" y="27485473"/>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1</xdr:col>
      <xdr:colOff>66842</xdr:colOff>
      <xdr:row>134</xdr:row>
      <xdr:rowOff>73527</xdr:rowOff>
    </xdr:from>
    <xdr:to>
      <xdr:col>2</xdr:col>
      <xdr:colOff>471237</xdr:colOff>
      <xdr:row>136</xdr:row>
      <xdr:rowOff>177133</xdr:rowOff>
    </xdr:to>
    <xdr:sp macro="" textlink="">
      <xdr:nvSpPr>
        <xdr:cNvPr id="39" name="Rectangle 38">
          <a:extLst>
            <a:ext uri="{FF2B5EF4-FFF2-40B4-BE49-F238E27FC236}">
              <a16:creationId xmlns:a16="http://schemas.microsoft.com/office/drawing/2014/main" id="{7716F0E8-F224-FE4B-84AA-A74E425BE5FB}"/>
            </a:ext>
          </a:extLst>
        </xdr:cNvPr>
        <xdr:cNvSpPr/>
      </xdr:nvSpPr>
      <xdr:spPr>
        <a:xfrm>
          <a:off x="13522869763" y="27472106"/>
          <a:ext cx="1229895" cy="511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ננ״ה לא</a:t>
          </a:r>
          <a:r>
            <a:rPr lang="he-IL" sz="1100" baseline="0"/>
            <a:t> מוגבלים שיועדו 0</a:t>
          </a:r>
          <a:endParaRPr lang="en-US" sz="1100"/>
        </a:p>
      </xdr:txBody>
    </xdr:sp>
    <xdr:clientData/>
  </xdr:twoCellAnchor>
  <xdr:twoCellAnchor>
    <xdr:from>
      <xdr:col>4</xdr:col>
      <xdr:colOff>604921</xdr:colOff>
      <xdr:row>512</xdr:row>
      <xdr:rowOff>150394</xdr:rowOff>
    </xdr:from>
    <xdr:to>
      <xdr:col>4</xdr:col>
      <xdr:colOff>688474</xdr:colOff>
      <xdr:row>515</xdr:row>
      <xdr:rowOff>63500</xdr:rowOff>
    </xdr:to>
    <xdr:sp macro="" textlink="">
      <xdr:nvSpPr>
        <xdr:cNvPr id="40" name="Right Brace 39">
          <a:extLst>
            <a:ext uri="{FF2B5EF4-FFF2-40B4-BE49-F238E27FC236}">
              <a16:creationId xmlns:a16="http://schemas.microsoft.com/office/drawing/2014/main" id="{DF09E39A-E0EF-527A-FAC6-080F22B365B0}"/>
            </a:ext>
          </a:extLst>
        </xdr:cNvPr>
        <xdr:cNvSpPr/>
      </xdr:nvSpPr>
      <xdr:spPr>
        <a:xfrm rot="10800000">
          <a:off x="13521001526" y="104948789"/>
          <a:ext cx="83553" cy="524711"/>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65689</xdr:colOff>
      <xdr:row>82</xdr:row>
      <xdr:rowOff>16422</xdr:rowOff>
    </xdr:from>
    <xdr:to>
      <xdr:col>7</xdr:col>
      <xdr:colOff>777327</xdr:colOff>
      <xdr:row>92</xdr:row>
      <xdr:rowOff>65690</xdr:rowOff>
    </xdr:to>
    <xdr:sp macro="" textlink="">
      <xdr:nvSpPr>
        <xdr:cNvPr id="2" name="TextBox 1">
          <a:extLst>
            <a:ext uri="{FF2B5EF4-FFF2-40B4-BE49-F238E27FC236}">
              <a16:creationId xmlns:a16="http://schemas.microsoft.com/office/drawing/2014/main" id="{8253EF0F-985E-2E10-E35F-3ED6B2404982}"/>
            </a:ext>
          </a:extLst>
        </xdr:cNvPr>
        <xdr:cNvSpPr txBox="1"/>
      </xdr:nvSpPr>
      <xdr:spPr>
        <a:xfrm>
          <a:off x="13536366164" y="6497801"/>
          <a:ext cx="6497802" cy="20746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שאלה 1</a:t>
          </a:r>
        </a:p>
        <a:p>
          <a:pPr algn="r" rtl="1"/>
          <a:r>
            <a:rPr lang="he-IL">
              <a:latin typeface="David" panose="020E0502060401010101" pitchFamily="34" charset="-79"/>
              <a:cs typeface="David" panose="020E0502060401010101" pitchFamily="34" charset="-79"/>
            </a:rPr>
            <a:t>להלן מספר מקרים בלתי תלויים שהתרחשו במכללה שהיא מלכ״ר לחימום נקניק. </a:t>
          </a:r>
        </a:p>
        <a:p>
          <a:pPr algn="r" rtl="1"/>
          <a:r>
            <a:rPr lang="he-IL">
              <a:latin typeface="David" panose="020E0502060401010101" pitchFamily="34" charset="-79"/>
              <a:cs typeface="David" panose="020E0502060401010101" pitchFamily="34" charset="-79"/>
            </a:rPr>
            <a:t>א. המלכ״ר קיבל ב- 31.12.2022 מבנה ששוויו ההוגן 1,000,0000 ש"ח. התורם התנה את התרומה בכך שהמבנה ישמש לקידום לימודי מדעי הנקניק, </a:t>
          </a:r>
          <a:r>
            <a:rPr lang="he-IL">
              <a:solidFill>
                <a:srgbClr val="FF0000"/>
              </a:solidFill>
              <a:latin typeface="David" panose="020E0502060401010101" pitchFamily="34" charset="-79"/>
              <a:cs typeface="David" panose="020E0502060401010101" pitchFamily="34" charset="-79"/>
            </a:rPr>
            <a:t>אך לא הטיל מגבלות על היכולת למכור את המבנה</a:t>
          </a:r>
          <a:r>
            <a:rPr lang="he-IL">
              <a:latin typeface="David" panose="020E0502060401010101" pitchFamily="34" charset="-79"/>
              <a:cs typeface="David" panose="020E0502060401010101" pitchFamily="34" charset="-79"/>
            </a:rPr>
            <a:t>. אורך החיים השימושיים של נכס זה הוא 20 שנה. </a:t>
          </a:r>
        </a:p>
        <a:p>
          <a:pPr algn="r" rtl="1"/>
          <a:r>
            <a:rPr lang="he-IL">
              <a:latin typeface="David" panose="020E0502060401010101" pitchFamily="34" charset="-79"/>
              <a:cs typeface="David" panose="020E0502060401010101" pitchFamily="34" charset="-79"/>
            </a:rPr>
            <a:t>ב. המלכ״ר קיבל ב- 31.12.2022 מבנה ששוויו ההוגן 2,000,000 ש"ח. התורם התנה את התרומה בכך שהמבנה ישמש לקידום לימודי חימום נקניק לתקופה של 5 שנים. אורך החיים השימושיים של נכס זה הוא 20 שנה. </a:t>
          </a:r>
        </a:p>
        <a:p>
          <a:pPr algn="r" rtl="1"/>
          <a:r>
            <a:rPr lang="he-IL">
              <a:latin typeface="David" panose="020E0502060401010101" pitchFamily="34" charset="-79"/>
              <a:cs typeface="David" panose="020E0502060401010101" pitchFamily="34" charset="-79"/>
            </a:rPr>
            <a:t>ג. המלכ״ר קיבל בתאריך 1.4.2022 2,000,000 ש״ח לצורך הקמת מבנה חדש לפקולטה לרפואת גסטרו לשיקום נזקי נקניק. בשנת 2022 המלכ״ר השקיע 800,000 ש״ח בהקמת המבנה, ובשנים 2023 הושקעו 1,500,000 ש״ח נוספים. המבנה זמין לשימוש ב- 30.6.2023 ואורך החיים השימושיים שלו 40 שנה. </a:t>
          </a:r>
        </a:p>
        <a:p>
          <a:pPr algn="r" rtl="1"/>
          <a:r>
            <a:rPr lang="he-IL">
              <a:latin typeface="David" panose="020E0502060401010101" pitchFamily="34" charset="-79"/>
              <a:cs typeface="David" panose="020E0502060401010101" pitchFamily="34" charset="-79"/>
            </a:rPr>
            <a:t>ד. בשנת 2023 המלכ״ר רכש ציוד משרדי מתכלה בשווי 40,000 ש״ח. ספק הציוד ויתר על 25% מהסכום. המלכ״ר מפריד את הנכסים נטו ללא הגבלה לפעילויות ורכוש קבוע.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בשנים 2022 ו- 2023</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21896</xdr:colOff>
      <xdr:row>229</xdr:row>
      <xdr:rowOff>169699</xdr:rowOff>
    </xdr:from>
    <xdr:to>
      <xdr:col>8</xdr:col>
      <xdr:colOff>49266</xdr:colOff>
      <xdr:row>248</xdr:row>
      <xdr:rowOff>25984</xdr:rowOff>
    </xdr:to>
    <xdr:sp macro="" textlink="">
      <xdr:nvSpPr>
        <xdr:cNvPr id="4" name="TextBox 3">
          <a:extLst>
            <a:ext uri="{FF2B5EF4-FFF2-40B4-BE49-F238E27FC236}">
              <a16:creationId xmlns:a16="http://schemas.microsoft.com/office/drawing/2014/main" id="{FF2FE61C-AB4D-9C1E-5648-D6CC5CBA0192}"/>
            </a:ext>
          </a:extLst>
        </xdr:cNvPr>
        <xdr:cNvSpPr txBox="1"/>
      </xdr:nvSpPr>
      <xdr:spPr>
        <a:xfrm>
          <a:off x="13510360145" y="36038267"/>
          <a:ext cx="6679442" cy="37442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זכות שימוש בפריט רכוש קבוע ללא תמורה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חברה מקבלת זכות להשתמש בפריט רכוש קבוע, מבלי שתצטרך לשלם בעד זכות זו, הזכות כזו אינה מקיימת את הגדרת חכירה (שכירות</a:t>
          </a:r>
          <a:r>
            <a:rPr lang="he-IL" baseline="0">
              <a:latin typeface="David" panose="020E0502060401010101" pitchFamily="34" charset="-79"/>
              <a:cs typeface="David" panose="020E0502060401010101" pitchFamily="34" charset="-79"/>
            </a:rPr>
            <a:t> / ליסינג ארוך טווח)</a:t>
          </a:r>
          <a:r>
            <a:rPr lang="he-IL">
              <a:latin typeface="David" panose="020E0502060401010101" pitchFamily="34" charset="-79"/>
              <a:cs typeface="David" panose="020E0502060401010101" pitchFamily="34" charset="-79"/>
            </a:rPr>
            <a:t>, לכן היא תוכר כהכנסות מתרומות וכהוצאות שכירות בתקופה בה נעשה שימוש בפריט בהתאם לשווי ההוגן.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ללא תמורה </a:t>
          </a:r>
        </a:p>
        <a:p>
          <a:pPr algn="r" rtl="1"/>
          <a:r>
            <a:rPr lang="he-IL">
              <a:latin typeface="David" panose="020E0502060401010101" pitchFamily="34" charset="-79"/>
              <a:cs typeface="David" panose="020E0502060401010101" pitchFamily="34" charset="-79"/>
            </a:rPr>
            <a:t>הבטחה כזו אינה מקיימת אף היא הגדרת חכירה.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בהתאם לכללי ההכרה, הבטחה בלתי מותנית תוכר </a:t>
          </a:r>
          <a:r>
            <a:rPr lang="he-IL" u="sng">
              <a:latin typeface="David" panose="020E0502060401010101" pitchFamily="34" charset="-79"/>
              <a:cs typeface="David" panose="020E0502060401010101" pitchFamily="34" charset="-79"/>
            </a:rPr>
            <a:t>כנכס</a:t>
          </a:r>
          <a:r>
            <a:rPr lang="he-IL">
              <a:latin typeface="David" panose="020E0502060401010101" pitchFamily="34" charset="-79"/>
              <a:cs typeface="David" panose="020E0502060401010101" pitchFamily="34" charset="-79"/>
            </a:rPr>
            <a:t> כנגד </a:t>
          </a:r>
          <a:r>
            <a:rPr lang="he-IL" u="sng">
              <a:latin typeface="David" panose="020E0502060401010101" pitchFamily="34" charset="-79"/>
              <a:cs typeface="David" panose="020E0502060401010101" pitchFamily="34" charset="-79"/>
            </a:rPr>
            <a:t>נכסים נטו שקיימת לגביהם הגבלה </a:t>
          </a:r>
          <a:r>
            <a:rPr lang="he-IL">
              <a:latin typeface="David" panose="020E0502060401010101" pitchFamily="34" charset="-79"/>
              <a:cs typeface="David" panose="020E0502060401010101" pitchFamily="34" charset="-79"/>
            </a:rPr>
            <a:t>בתקופה שבה התקבלה בתנאי שקיימות ראיות מספיקות בצורת תיעוד ניתן לאימות שניתנה הבטחה וקיימת יכולת אכיפה משפטית של ההבטחה.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לאורך תקופת השימוש בפריט: </a:t>
          </a:r>
        </a:p>
        <a:p>
          <a:pPr algn="r" rtl="1"/>
          <a:r>
            <a:rPr lang="he-IL">
              <a:latin typeface="David" panose="020E0502060401010101" pitchFamily="34" charset="-79"/>
              <a:cs typeface="David" panose="020E0502060401010101" pitchFamily="34" charset="-79"/>
            </a:rPr>
            <a:t>יוכרו </a:t>
          </a:r>
          <a:r>
            <a:rPr lang="he-IL" u="sng">
              <a:latin typeface="David" panose="020E0502060401010101" pitchFamily="34" charset="-79"/>
              <a:cs typeface="David" panose="020E0502060401010101" pitchFamily="34" charset="-79"/>
            </a:rPr>
            <a:t>הוצאות שכירות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יתרת חייבים </a:t>
          </a:r>
        </a:p>
        <a:p>
          <a:pPr algn="r" rtl="1"/>
          <a:r>
            <a:rPr lang="he-IL" u="sng">
              <a:latin typeface="David" panose="020E0502060401010101" pitchFamily="34" charset="-79"/>
              <a:cs typeface="David" panose="020E0502060401010101" pitchFamily="34" charset="-79"/>
            </a:rPr>
            <a:t>והכנסות מתרומה </a:t>
          </a:r>
          <a:r>
            <a:rPr lang="he-IL">
              <a:latin typeface="David" panose="020E0502060401010101" pitchFamily="34" charset="-79"/>
              <a:cs typeface="David" panose="020E0502060401010101" pitchFamily="34" charset="-79"/>
            </a:rPr>
            <a:t>כנגד </a:t>
          </a:r>
          <a:r>
            <a:rPr lang="he-IL" u="sng">
              <a:latin typeface="David" panose="020E0502060401010101" pitchFamily="34" charset="-79"/>
              <a:cs typeface="David" panose="020E0502060401010101" pitchFamily="34" charset="-79"/>
            </a:rPr>
            <a:t>קיטון בנכסים נטו שקיימת לגביהם הגבלה</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השפעת ערך הזמן היא מהותית, ההבטחה תימדד בערך נוכחי של תשלומי השכירות בתנאי שווי הוגן.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בכל תקופת דיווח, יוכר גידול בתרומות לקבל ובמקביל בנכסים נטו שקיימת לגביהם הגבלה על מנת לשקף את חלוף הזמן.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2</a:t>
          </a:r>
        </a:p>
        <a:p>
          <a:pPr algn="r" rtl="1"/>
          <a:r>
            <a:rPr lang="he-IL">
              <a:latin typeface="David" panose="020E0502060401010101" pitchFamily="34" charset="-79"/>
              <a:cs typeface="David" panose="020E0502060401010101" pitchFamily="34" charset="-79"/>
            </a:rPr>
            <a:t>ביום 31.12.2022 חתם תורם עם עמותה על הסכם לפיו:</a:t>
          </a:r>
        </a:p>
        <a:p>
          <a:pPr algn="r" rtl="1"/>
          <a:r>
            <a:rPr lang="he-IL">
              <a:latin typeface="David" panose="020E0502060401010101" pitchFamily="34" charset="-79"/>
              <a:cs typeface="David" panose="020E0502060401010101" pitchFamily="34" charset="-79"/>
            </a:rPr>
            <a:t> העמותה תקבל זכות שימוש במבנה לתקופה של 10 שנים, ללא תמורה. תשלומי השכירות המקובלים בשוק הינם 15,000 ש"ח לשנה. שיעור ההיוון .5%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להציג פקודות יומן בספרי העמותה לשנים 2022 ו- 2023.</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xdr:txBody>
    </xdr:sp>
    <xdr:clientData/>
  </xdr:twoCellAnchor>
  <xdr:twoCellAnchor>
    <xdr:from>
      <xdr:col>0</xdr:col>
      <xdr:colOff>63722</xdr:colOff>
      <xdr:row>298</xdr:row>
      <xdr:rowOff>80998</xdr:rowOff>
    </xdr:from>
    <xdr:to>
      <xdr:col>8</xdr:col>
      <xdr:colOff>91092</xdr:colOff>
      <xdr:row>311</xdr:row>
      <xdr:rowOff>195384</xdr:rowOff>
    </xdr:to>
    <xdr:sp macro="" textlink="">
      <xdr:nvSpPr>
        <xdr:cNvPr id="5" name="TextBox 4">
          <a:extLst>
            <a:ext uri="{FF2B5EF4-FFF2-40B4-BE49-F238E27FC236}">
              <a16:creationId xmlns:a16="http://schemas.microsoft.com/office/drawing/2014/main" id="{5DC07209-D36B-7E9E-93AE-E70C3491738E}"/>
            </a:ext>
          </a:extLst>
        </xdr:cNvPr>
        <xdr:cNvSpPr txBox="1"/>
      </xdr:nvSpPr>
      <xdr:spPr>
        <a:xfrm>
          <a:off x="13544960395" y="60428793"/>
          <a:ext cx="6826755" cy="273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הבטחה בלתי מותנית למתן זכות שימוש בפריט רכוש קבוע למספר מוגדר של תקופות בהסכם חכירה שאיננו בתנאי שוק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המלכ"ר מתקשר בהסכם חכירה (שכירות ארוכת טווח / ליסינג), </a:t>
          </a:r>
        </a:p>
        <a:p>
          <a:pPr algn="r" rtl="1"/>
          <a:r>
            <a:rPr lang="he-IL">
              <a:latin typeface="David" panose="020E0502060401010101" pitchFamily="34" charset="-79"/>
              <a:cs typeface="David" panose="020E0502060401010101" pitchFamily="34" charset="-79"/>
            </a:rPr>
            <a:t>שלפיו תשלומי החכירה נמוכים מהשווי ההוגן של תשלומי החכירה המקובלים בשוק:</a:t>
          </a:r>
        </a:p>
        <a:p>
          <a:pPr algn="r" rtl="1"/>
          <a:r>
            <a:rPr lang="he-IL">
              <a:latin typeface="David" panose="020E0502060401010101" pitchFamily="34" charset="-79"/>
              <a:cs typeface="David" panose="020E0502060401010101" pitchFamily="34" charset="-79"/>
            </a:rPr>
            <a:t>יש לטפל בחכירה בהתאם למדיניות החשבונאית של המלכ"ר.</a:t>
          </a:r>
        </a:p>
        <a:p>
          <a:pPr algn="r" rtl="1"/>
          <a:r>
            <a:rPr lang="he-IL">
              <a:latin typeface="David" panose="020E0502060401010101" pitchFamily="34" charset="-79"/>
              <a:cs typeface="David" panose="020E0502060401010101" pitchFamily="34" charset="-79"/>
            </a:rPr>
            <a:t>בישראל אין תקן חשבונאות בנושא חכירה (תקן ישראלי) לכן ניתן ליישם את התקן הבינלאומי </a:t>
          </a:r>
          <a:r>
            <a:rPr lang="en-US">
              <a:latin typeface="David" panose="020E0502060401010101" pitchFamily="34" charset="-79"/>
              <a:cs typeface="David" panose="020E0502060401010101" pitchFamily="34" charset="-79"/>
            </a:rPr>
            <a:t>IFRS 16</a:t>
          </a:r>
          <a:r>
            <a:rPr lang="he-IL">
              <a:latin typeface="David" panose="020E0502060401010101" pitchFamily="34" charset="-79"/>
              <a:cs typeface="David" panose="020E0502060401010101" pitchFamily="34" charset="-79"/>
            </a:rPr>
            <a:t> בדבר</a:t>
          </a:r>
          <a:r>
            <a:rPr lang="he-IL" baseline="0">
              <a:latin typeface="David" panose="020E0502060401010101" pitchFamily="34" charset="-79"/>
              <a:cs typeface="David" panose="020E0502060401010101" pitchFamily="34" charset="-79"/>
            </a:rPr>
            <a:t> חכירות.</a:t>
          </a:r>
        </a:p>
        <a:p>
          <a:pPr algn="r" rtl="1"/>
          <a:endParaRPr lang="he-IL" baseline="0">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להכיר בהפרש בין תשלומי החכירה של הנכס המקובלים בשוק </a:t>
          </a:r>
          <a:r>
            <a:rPr lang="he-IL" u="sng">
              <a:latin typeface="David" panose="020E0502060401010101" pitchFamily="34" charset="-79"/>
              <a:cs typeface="David" panose="020E0502060401010101" pitchFamily="34" charset="-79"/>
            </a:rPr>
            <a:t>לבין</a:t>
          </a:r>
          <a:r>
            <a:rPr lang="he-IL">
              <a:latin typeface="David" panose="020E0502060401010101" pitchFamily="34" charset="-79"/>
              <a:cs typeface="David" panose="020E0502060401010101" pitchFamily="34" charset="-79"/>
            </a:rPr>
            <a:t> תשלומי החכירה בחוזה לפי העקרונות שנקבעו בהבטחה בלתי מותנית למתן זכות שימוש בפריט רכוש קבוע למספר מוגדר של תקופות ללא תמורה.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שאלה 3</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31.12.2022 חתם תורם עם עמותה על הסכם.</a:t>
          </a:r>
        </a:p>
        <a:p>
          <a:pPr algn="r" rtl="1"/>
          <a:r>
            <a:rPr lang="he-IL">
              <a:latin typeface="David" panose="020E0502060401010101" pitchFamily="34" charset="-79"/>
              <a:cs typeface="David" panose="020E0502060401010101" pitchFamily="34" charset="-79"/>
            </a:rPr>
            <a:t>בהתאם לתנאי ההסכם, העמותה תקבל זכות שימוש במבנה: לתקופה של 10 שנים, תמורת 12,000 ש"ח לשנה. </a:t>
          </a:r>
        </a:p>
        <a:p>
          <a:pPr algn="r" rtl="1"/>
          <a:r>
            <a:rPr lang="he-IL">
              <a:latin typeface="David" panose="020E0502060401010101" pitchFamily="34" charset="-79"/>
              <a:cs typeface="David" panose="020E0502060401010101" pitchFamily="34" charset="-79"/>
            </a:rPr>
            <a:t>תשלומי השכירות המקובלים בשוק הינם 18,000 ש"ח לשנה. החברה איננה מפרידה בין ננ״ה</a:t>
          </a:r>
          <a:r>
            <a:rPr lang="he-IL" baseline="0">
              <a:latin typeface="David" panose="020E0502060401010101" pitchFamily="34" charset="-79"/>
              <a:cs typeface="David" panose="020E0502060401010101" pitchFamily="34" charset="-79"/>
            </a:rPr>
            <a:t> חופשיה שלא יועדה, ננ״ה חופשיה שיועדה, ננ״ה חופשיה ששימשה לרכוש קבוע, וננ״ה בננה.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שיעור ההיוון 5%.</a:t>
          </a:r>
        </a:p>
        <a:p>
          <a:pPr algn="r" rtl="1"/>
          <a:r>
            <a:rPr lang="he-IL">
              <a:latin typeface="David" panose="020E0502060401010101" pitchFamily="34" charset="-79"/>
              <a:cs typeface="David" panose="020E0502060401010101" pitchFamily="34" charset="-79"/>
            </a:rPr>
            <a:t>נדרש – להציג פקודות יומן בספרי העמותה לשנים 2022 ו- 2023 בהנחה שהעמותה מיישמת את הוראות 16</a:t>
          </a:r>
          <a:r>
            <a:rPr lang="he-IL" baseline="0">
              <a:latin typeface="David" panose="020E0502060401010101" pitchFamily="34" charset="-79"/>
              <a:cs typeface="David" panose="020E0502060401010101" pitchFamily="34" charset="-79"/>
            </a:rPr>
            <a:t> </a:t>
          </a:r>
          <a:r>
            <a:rPr lang="en-US" baseline="0">
              <a:latin typeface="David" panose="020E0502060401010101" pitchFamily="34" charset="-79"/>
              <a:cs typeface="David" panose="020E0502060401010101" pitchFamily="34" charset="-79"/>
            </a:rPr>
            <a:t>IFRS</a:t>
          </a:r>
          <a:r>
            <a:rPr lang="he-IL"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397</xdr:row>
      <xdr:rowOff>42330</xdr:rowOff>
    </xdr:from>
    <xdr:to>
      <xdr:col>7</xdr:col>
      <xdr:colOff>514570</xdr:colOff>
      <xdr:row>435</xdr:row>
      <xdr:rowOff>137474</xdr:rowOff>
    </xdr:to>
    <xdr:sp macro="" textlink="">
      <xdr:nvSpPr>
        <xdr:cNvPr id="6" name="TextBox 5">
          <a:extLst>
            <a:ext uri="{FF2B5EF4-FFF2-40B4-BE49-F238E27FC236}">
              <a16:creationId xmlns:a16="http://schemas.microsoft.com/office/drawing/2014/main" id="{7D4383C0-9E7C-29D5-A947-B7DCC373266A}"/>
            </a:ext>
          </a:extLst>
        </xdr:cNvPr>
        <xdr:cNvSpPr txBox="1"/>
      </xdr:nvSpPr>
      <xdr:spPr>
        <a:xfrm>
          <a:off x="13507977905" y="63031711"/>
          <a:ext cx="6471786" cy="78067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שירותים שהתקבלו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רשאי לכלול בדוחות הכספיים שלו גם שירותים (לא רק נכסים) שהתקבלו על ידו ללא תמורה כהכנסות וכהוצאות, </a:t>
          </a:r>
        </a:p>
        <a:p>
          <a:pPr algn="r" rtl="1"/>
          <a:r>
            <a:rPr lang="he-IL">
              <a:latin typeface="David" panose="020E0502060401010101" pitchFamily="34" charset="-79"/>
              <a:cs typeface="David" panose="020E0502060401010101" pitchFamily="34" charset="-79"/>
            </a:rPr>
            <a:t>על פי השווי ההוגן שלהם, בהתקיים שלושת התנאים הבאים: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אותם השירותים הם בעלי ערך כספי מהותי על בסיס כולל, ביחס להיקף הפעילות של המלכ"ר. </a:t>
          </a:r>
        </a:p>
        <a:p>
          <a:pPr algn="r" rtl="1"/>
          <a:r>
            <a:rPr lang="he-IL">
              <a:latin typeface="David" panose="020E0502060401010101" pitchFamily="34" charset="-79"/>
              <a:cs typeface="David" panose="020E0502060401010101" pitchFamily="34" charset="-79"/>
            </a:rPr>
            <a:t>ב. ניתן להעריך את שוויים ההוגן של אותם שירותים באופן מהימן. </a:t>
          </a:r>
        </a:p>
        <a:p>
          <a:pPr algn="r" rtl="1"/>
          <a:r>
            <a:rPr lang="he-IL">
              <a:latin typeface="David" panose="020E0502060401010101" pitchFamily="34" charset="-79"/>
              <a:cs typeface="David" panose="020E0502060401010101" pitchFamily="34" charset="-79"/>
            </a:rPr>
            <a:t>ג. השירותים הינם חיוניים לפעילויות הרגילות של המלכ"ר ואילולא השירותים היו מתקבלים היה המלכ"ר נאלץ לרכשם בתמורה או שהשירותים יוצרים או מגדילים נכס לא פיננסי.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מלכ"ר יישם את המדיניות החשבונאית שבחר לכל השירותים שהתקבלו על ידו ללא תמורה. </a:t>
          </a:r>
        </a:p>
        <a:p>
          <a:pPr algn="r" rtl="1"/>
          <a:r>
            <a:rPr lang="he-IL">
              <a:latin typeface="David" panose="020E0502060401010101" pitchFamily="34" charset="-79"/>
              <a:cs typeface="David" panose="020E0502060401010101" pitchFamily="34" charset="-79"/>
            </a:rPr>
            <a:t>יחד עם זאת, במקרה שבחר המלכ"ר להכיר בשירותים שהתקבלו על ידו ללא תמורה על פי השווי ההוגן שלהם, </a:t>
          </a:r>
        </a:p>
        <a:p>
          <a:pPr algn="r" rtl="1"/>
          <a:r>
            <a:rPr lang="he-IL">
              <a:latin typeface="David" panose="020E0502060401010101" pitchFamily="34" charset="-79"/>
              <a:cs typeface="David" panose="020E0502060401010101" pitchFamily="34" charset="-79"/>
            </a:rPr>
            <a:t>יבחן את כל אחד מהתנאים לעיל לגבי כל סוג של שירותים על בסיס נפרד ולא לגבי כלל השירותים שהתקבלו על ידו ללא תמורה.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לא ניתן לאמוד באופן מהימן את השווי ההוגן של נכסים שהתקבלו ללא תמורה או לחילופין המלכ"ר בחר לכלול שירותים שהתקבלו ללא תמורה אך לא ניתן לאמוד את שוויים ההוגן, המלכ"ר יציין עובדה זו בביאורים לדוחות הכספיים.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בביאורים לדוחות הכספיים יינתן גילוי לפרטים הבאים בדבר נכסים או שירותים שהתקבלו ללא תמורה, כגון תיאור מסגרת הפעילות שבה נעשה שימוש בנכסים ובשירותים שהתקבלו, תיאור מילולי וכמותי של הנכסים או השירותים שהוכרו כתרומה בתקופת הדיווח, שיתייחס לטבעם ולהיקפם.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כמו כן, יש לספק תיאור מילולי של הנכסים או השירותים שהתקבלו, אך לא הוכרו כתרומה בתקופת הדיווח כי לא קיימו תנאי ההכרה, וכן השיטות וההנחות המשמעותיות שיושמו בקביעת השווי ההוגן ואופן ההכרה בהכנסה של נכסים שהתקבלו ללא תמורה (במועד שבו הנכס מוכן לשימושו המיועד או פריסה על פני תקופת השימוש שנקבעה על ידי התורם) והתקופה שלאורכה דרש התורם שימוש בנכס.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עסקאות סוכנות </a:t>
          </a:r>
        </a:p>
        <a:p>
          <a:pPr algn="r" rtl="1"/>
          <a:r>
            <a:rPr lang="he-IL">
              <a:latin typeface="David" panose="020E0502060401010101" pitchFamily="34" charset="-79"/>
              <a:cs typeface="David" panose="020E0502060401010101" pitchFamily="34" charset="-79"/>
            </a:rPr>
            <a:t>כאשר למלכ"ר יש יכולת לשלוט בטובת ההנאה הצפויה מהתרומה שהתקבלה - הוא יכול להשתמש בה למטרותיו הוא באופן חופשי </a:t>
          </a:r>
          <a:r>
            <a:rPr lang="he-IL" b="1" u="sng">
              <a:latin typeface="David" panose="020E0502060401010101" pitchFamily="34" charset="-79"/>
              <a:cs typeface="David" panose="020E0502060401010101" pitchFamily="34" charset="-79"/>
            </a:rPr>
            <a:t>או</a:t>
          </a:r>
          <a:r>
            <a:rPr lang="he-IL">
              <a:latin typeface="David" panose="020E0502060401010101" pitchFamily="34" charset="-79"/>
              <a:cs typeface="David" panose="020E0502060401010101" pitchFamily="34" charset="-79"/>
            </a:rPr>
            <a:t> בהתאם להתניות התורם בדבר מטרות השימוש בתרומה, שווי התמורה שייך למלכ״ר עצמו, המלכ"ר אינו 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לעומת זאת, </a:t>
          </a:r>
          <a:r>
            <a:rPr lang="he-IL" u="sng">
              <a:latin typeface="David" panose="020E0502060401010101" pitchFamily="34" charset="-79"/>
              <a:cs typeface="David" panose="020E0502060401010101" pitchFamily="34" charset="-79"/>
            </a:rPr>
            <a:t>אם התורם התנה את התרומה בהעברתה לצד שלישי</a:t>
          </a:r>
          <a:r>
            <a:rPr lang="he-IL">
              <a:latin typeface="David" panose="020E0502060401010101" pitchFamily="34" charset="-79"/>
              <a:cs typeface="David" panose="020E0502060401010101" pitchFamily="34" charset="-79"/>
            </a:rPr>
            <a:t>, ולא לשימושו של המלכ"ר, המלכ"ר משמש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העברה של נכסים למלכ"ר עשויה להיראות כתרומה. יחד עם זאת, אם למלכ"ר אין שיקול דעת לגבי אופן השימוש בנכסים שהועברו או שיש לו שיקול דעת מועט, העברת הנכסים אינה מהווה תרומה והמלכ"ר פועל כסוכן, נאמן או מתווך.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במקרים שבהם </a:t>
          </a:r>
          <a:r>
            <a:rPr lang="he-IL" u="sng">
              <a:latin typeface="David" panose="020E0502060401010101" pitchFamily="34" charset="-79"/>
              <a:cs typeface="David" panose="020E0502060401010101" pitchFamily="34" charset="-79"/>
            </a:rPr>
            <a:t>המעביר</a:t>
          </a:r>
          <a:r>
            <a:rPr lang="he-IL">
              <a:latin typeface="David" panose="020E0502060401010101" pitchFamily="34" charset="-79"/>
              <a:cs typeface="David" panose="020E0502060401010101" pitchFamily="34" charset="-79"/>
            </a:rPr>
            <a:t> קובע מי יהיה הצד השלישי או הצדדים השלישיים אליהם יועברו הנכסים, למלכ"ר אין שיקול דעת לגבי אופן השימוש בנכסים שהועברו. </a:t>
          </a:r>
        </a:p>
        <a:p>
          <a:pPr algn="r" rtl="1"/>
          <a:r>
            <a:rPr lang="he-IL">
              <a:latin typeface="David" panose="020E0502060401010101" pitchFamily="34" charset="-79"/>
              <a:cs typeface="David" panose="020E0502060401010101" pitchFamily="34" charset="-79"/>
            </a:rPr>
            <a:t>המעביר יכול לקבוע מי יהיה הצד השלישי אליו נדרש המלכ"ר להעביר את הנכסים על ידי זיהוי הצד השלישי בשמו, על ידי קביעה שכל צד שלישי שמקיים את הקריטריונים שנקבעו על ידי המעביר יהיה זכאי לנכסים או על ידי פעולות אחרות המבהירות את זהות הצד השלישי, כמו טופס גיוס תרומות לצד שלישי ספציפי.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בכל המקרים האלה, המלכ"ר הוא סוכן והעברת הנכסים אינה מוכרת כתרומה.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אם למלכ"ר יש שיקול דעת בבחירת הצדדים השלישיים אליהם יועברו הנכסים או לגבי אופן השימוש בנכסים שהועברו, העברת הנכסים מהווה תרומה.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למשל, אם המעביר קובע הגדרות רחבות לצדדים השלישיים אליהם יועברו הנכסים, כגון חסרי בית או נפגעי נקניק, למלכ"ר יש שיקול דעת בבחירת הצדדים השלישיים אליהם יועברו הנכסים. </a:t>
          </a:r>
        </a:p>
        <a:p>
          <a:pPr algn="r" rtl="1"/>
          <a:r>
            <a:rPr lang="he-IL">
              <a:latin typeface="David" panose="020E0502060401010101" pitchFamily="34" charset="-79"/>
              <a:cs typeface="David" panose="020E0502060401010101" pitchFamily="34" charset="-79"/>
            </a:rPr>
            <a:t>דוגמה נוספת, אם המעביר קובע מי יהיה הצד השלישי אליו יועברו הנכסים, אך משאיר למלכ"ר שיקול דעת לגבי הפעילויות או ההוצאות של הצד השלישי אשר ימומנו מנכסים אלה, למלכ"ר יש שיקול דעת לגבי אופן השימוש בנכסים שהועברו. שיקול דעת שניתן למלכ"ר לגבי עיתוי העברת הנכסים לצד שלישי אינו מספיק כדי להפוך את העברת הנכסים לתרומה.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3274</xdr:colOff>
      <xdr:row>437</xdr:row>
      <xdr:rowOff>82265</xdr:rowOff>
    </xdr:from>
    <xdr:to>
      <xdr:col>7</xdr:col>
      <xdr:colOff>543238</xdr:colOff>
      <xdr:row>467</xdr:row>
      <xdr:rowOff>163660</xdr:rowOff>
    </xdr:to>
    <xdr:sp macro="" textlink="">
      <xdr:nvSpPr>
        <xdr:cNvPr id="7" name="TextBox 6">
          <a:extLst>
            <a:ext uri="{FF2B5EF4-FFF2-40B4-BE49-F238E27FC236}">
              <a16:creationId xmlns:a16="http://schemas.microsoft.com/office/drawing/2014/main" id="{AA0EFEC4-D365-F6E4-501C-60EAE3437A5E}"/>
            </a:ext>
          </a:extLst>
        </xdr:cNvPr>
        <xdr:cNvSpPr txBox="1"/>
      </xdr:nvSpPr>
      <xdr:spPr>
        <a:xfrm>
          <a:off x="13507949237" y="71189172"/>
          <a:ext cx="6497180" cy="6169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מקרים  להבחנה בין תרומה לבין עסקת סוכנות </a:t>
          </a:r>
        </a:p>
        <a:p>
          <a:pPr algn="r" rtl="1"/>
          <a:r>
            <a:rPr lang="he-IL">
              <a:latin typeface="David" panose="020E0502060401010101" pitchFamily="34" charset="-79"/>
              <a:cs typeface="David" panose="020E0502060401010101" pitchFamily="34" charset="-79"/>
            </a:rPr>
            <a:t>א. מלכ"ר מקבל מיחיד (המעביר / התורם) מזומנים לחלוקת מלגות. </a:t>
          </a:r>
        </a:p>
        <a:p>
          <a:pPr algn="r" rtl="1"/>
          <a:r>
            <a:rPr lang="he-IL">
              <a:latin typeface="David" panose="020E0502060401010101" pitchFamily="34" charset="-79"/>
              <a:cs typeface="David" panose="020E0502060401010101" pitchFamily="34" charset="-79"/>
            </a:rPr>
            <a:t>במסגרת ההסכם, היחיד (המעביר / התורם) דרש כי המלכ"ר יערוך רשימה של סטודנטים מצטיינים, שמהם היחיד (המעביר / התורם) יבחר שלושה שיקבלו את המלגה.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 </a:t>
          </a:r>
        </a:p>
        <a:p>
          <a:pPr algn="r" rtl="1"/>
          <a:r>
            <a:rPr lang="he-IL">
              <a:latin typeface="David" panose="020E0502060401010101" pitchFamily="34" charset="-79"/>
              <a:cs typeface="David" panose="020E0502060401010101" pitchFamily="34" charset="-79"/>
            </a:rPr>
            <a:t>למלכ"ר אין שיקול דעת בבחירת הסטודנטים שיקבלו את המלגה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מלכ"ר מקבל מיחיד מענק במזומן שעליו לחלקו בין כל המלכ"רים שעומדים בקריטריונים שנקבעו בהסכם המענק. </a:t>
          </a:r>
        </a:p>
        <a:p>
          <a:pPr algn="r" rtl="1"/>
          <a:r>
            <a:rPr lang="he-IL">
              <a:latin typeface="David" panose="020E0502060401010101" pitchFamily="34" charset="-79"/>
              <a:cs typeface="David" panose="020E0502060401010101" pitchFamily="34" charset="-79"/>
            </a:rPr>
            <a:t>על המלכ"ר מוטלת אחריות לקבוע מי מהמלכ"רים עומד בקריטריונים שנקבעו בהסכם המענק.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 בעסקת סוכנות? כן.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למלכ"ר אין שיקול דעת בבחירת המלכ"רים שיקבלו את המענק: הוא אמנם בוחן תנאים טכניים שהוגדרו בהסכם, אך זה לא עולה לגדר שיקול דעת / שליטה, המלכ״ר לא יכול להעדיף ארגונים מסוימים על פני אחרים, ולמעשה הבחירה מוגדרת לפי קריטריונים</a:t>
          </a:r>
          <a:r>
            <a:rPr lang="he-IL" baseline="0">
              <a:latin typeface="David" panose="020E0502060401010101" pitchFamily="34" charset="-79"/>
              <a:cs typeface="David" panose="020E0502060401010101" pitchFamily="34" charset="-79"/>
            </a:rPr>
            <a:t> קשיחים בהסכם ללא חופש פעולה למלכ״ר עצמו.</a:t>
          </a:r>
          <a:r>
            <a:rPr lang="he-IL">
              <a:latin typeface="David" panose="020E0502060401010101" pitchFamily="34" charset="-79"/>
              <a:cs typeface="David" panose="020E0502060401010101" pitchFamily="34" charset="-79"/>
            </a:rPr>
            <a:t> ולכן המלכ"ר פועל כסוכן של היחיד. </a:t>
          </a:r>
        </a:p>
        <a:p>
          <a:pPr algn="r" rtl="1"/>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תורם נענה לבקשה של המלכ"ר לתרום ליחיד (ספציפי, מזוהה) חולה סרטן. התורם העביר את התרומה במזומן למלכ"ר. המלכ"ר גייס את התרומה עבור היחיד.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 בעסקת סוכנות? כן.</a:t>
          </a:r>
        </a:p>
        <a:p>
          <a:pPr algn="r" rtl="1"/>
          <a:r>
            <a:rPr lang="he-IL">
              <a:latin typeface="David" panose="020E0502060401010101" pitchFamily="34" charset="-79"/>
              <a:cs typeface="David" panose="020E0502060401010101" pitchFamily="34" charset="-79"/>
            </a:rPr>
            <a:t>מדוע? הרי לכאורה המלכ״ר הוא שקבע את זהות היחיד!</a:t>
          </a:r>
        </a:p>
        <a:p>
          <a:pPr algn="r" rtl="1"/>
          <a:r>
            <a:rPr lang="he-IL">
              <a:latin typeface="David" panose="020E0502060401010101" pitchFamily="34" charset="-79"/>
              <a:cs typeface="David" panose="020E0502060401010101" pitchFamily="34" charset="-79"/>
            </a:rPr>
            <a:t>מה שקורה</a:t>
          </a:r>
          <a:r>
            <a:rPr lang="he-IL" baseline="0">
              <a:latin typeface="David" panose="020E0502060401010101" pitchFamily="34" charset="-79"/>
              <a:cs typeface="David" panose="020E0502060401010101" pitchFamily="34" charset="-79"/>
            </a:rPr>
            <a:t> כאן זה שאמנם המלכ״ר קבע את הזהות, אבל מהרגע שקיבל את התרומה יש לו 0 שיקול דעת לגבי מה ניתן לעשות עם הכסף. המעביר למעשה אמר: ״קח את הכסף - אבל זה בכלל לא שלך, גם לא לרגע; אתה צינור להעביר את הכסף למוטב ספציפי״. לכן זו עסקת סוכנות, וגם במקרה זה - </a:t>
          </a:r>
          <a:r>
            <a:rPr lang="he-IL">
              <a:latin typeface="David" panose="020E0502060401010101" pitchFamily="34" charset="-79"/>
              <a:cs typeface="David" panose="020E0502060401010101" pitchFamily="34" charset="-79"/>
            </a:rPr>
            <a:t>המזומנים שהתקבלו אינם מהווים תרומה. </a:t>
          </a:r>
        </a:p>
        <a:p>
          <a:pPr algn="r" rtl="1"/>
          <a:r>
            <a:rPr lang="he-IL">
              <a:latin typeface="David" panose="020E0502060401010101" pitchFamily="34" charset="-79"/>
              <a:cs typeface="David" panose="020E0502060401010101" pitchFamily="34" charset="-79"/>
            </a:rPr>
            <a:t>שימו לב, מקרה</a:t>
          </a:r>
          <a:r>
            <a:rPr lang="he-IL" baseline="0">
              <a:latin typeface="David" panose="020E0502060401010101" pitchFamily="34" charset="-79"/>
              <a:cs typeface="David" panose="020E0502060401010101" pitchFamily="34" charset="-79"/>
            </a:rPr>
            <a:t> זה שונה מפנייה כללית לתורם לגיוס תרומות לחולי סרטן. במקרה כזה, התורם לא יכול להגביל ולהתנות את שיקול הדעת של המלכ״ר לגבי הניתוב הספציפי של כספי התרומה, ולכן לא היה מדובר בעסקת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ד. תורם נענה לבקשה של המלכ"ר לתרום כספים. </a:t>
          </a:r>
        </a:p>
        <a:p>
          <a:pPr algn="r" rtl="1"/>
          <a:r>
            <a:rPr lang="he-IL">
              <a:latin typeface="David" panose="020E0502060401010101" pitchFamily="34" charset="-79"/>
              <a:cs typeface="David" panose="020E0502060401010101" pitchFamily="34" charset="-79"/>
            </a:rPr>
            <a:t>במסגרת התרומה, התורם רשאי לבחור תחום אחד מבין תחומי הפעילות של המלכ"ר אליו הוא מעוניין לייעד את התרומה. 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פעילותו ויש לו שיקול דעת בשימוש בתרומה במסגרת תחום הפעילות שבחר התורם. </a:t>
          </a:r>
        </a:p>
        <a:p>
          <a:pPr algn="r" rtl="1"/>
          <a:endParaRPr lang="he-IL">
            <a:latin typeface="David" panose="020E0502060401010101" pitchFamily="34" charset="-79"/>
            <a:cs typeface="David" panose="020E0502060401010101" pitchFamily="34" charset="-79"/>
          </a:endParaRPr>
        </a:p>
        <a:p>
          <a:pPr algn="r" rtl="1"/>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i="1">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 עוד קיים שיקול דעת מהותי למלכ״ר לגבי אופן השימוש בכספים שהועברו, מדובר בתרומה ולא בעסקת סוכנות.</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 תורם נענה לבקשה של המלכ"ר לתרום לחולי סרטן. </a:t>
          </a:r>
        </a:p>
        <a:p>
          <a:pPr algn="r" rtl="1"/>
          <a:r>
            <a:rPr lang="he-IL">
              <a:latin typeface="David" panose="020E0502060401010101" pitchFamily="34" charset="-79"/>
              <a:cs typeface="David" panose="020E0502060401010101" pitchFamily="34" charset="-79"/>
            </a:rPr>
            <a:t>התורם העביר את התרומה במזומן למלכ"ר. </a:t>
          </a:r>
        </a:p>
        <a:p>
          <a:pPr algn="r" rtl="1"/>
          <a:r>
            <a:rPr lang="he-IL">
              <a:latin typeface="David" panose="020E0502060401010101" pitchFamily="34" charset="-79"/>
              <a:cs typeface="David" panose="020E0502060401010101" pitchFamily="34" charset="-79"/>
            </a:rPr>
            <a:t>המלכ"ר גייס את התרומה עבור חולי סרטן. </a:t>
          </a:r>
        </a:p>
        <a:p>
          <a:pPr algn="r" rtl="1"/>
          <a:r>
            <a:rPr lang="he-IL">
              <a:latin typeface="David" panose="020E0502060401010101" pitchFamily="34" charset="-79"/>
              <a:cs typeface="David" panose="020E0502060401010101" pitchFamily="34" charset="-79"/>
            </a:rPr>
            <a:t>למלכ"ר יש שיקול דעת בבחירת חולה הסרטן שיקבל את התרומה. </a:t>
          </a:r>
        </a:p>
        <a:p>
          <a:pPr algn="r" rtl="1"/>
          <a:endParaRPr lang="he-IL">
            <a:latin typeface="David" panose="020E0502060401010101" pitchFamily="34" charset="-79"/>
            <a:cs typeface="David" panose="020E0502060401010101" pitchFamily="34" charset="-79"/>
          </a:endParaRPr>
        </a:p>
        <a:p>
          <a:pPr marL="0" marR="0" lvl="0" indent="0" algn="r" defTabSz="914400" rtl="1" eaLnBrk="1" fontAlgn="auto" latinLnBrk="0" hangingPunct="1">
            <a:lnSpc>
              <a:spcPct val="100000"/>
            </a:lnSpc>
            <a:spcBef>
              <a:spcPts val="0"/>
            </a:spcBef>
            <a:spcAft>
              <a:spcPts val="0"/>
            </a:spcAft>
            <a:buClrTx/>
            <a:buSzTx/>
            <a:buFontTx/>
            <a:buNone/>
            <a:tabLst/>
            <a:defRPr/>
          </a:pPr>
          <a:r>
            <a:rPr lang="he-IL" i="1">
              <a:latin typeface="David" panose="020E0502060401010101" pitchFamily="34" charset="-79"/>
              <a:cs typeface="David" panose="020E0502060401010101" pitchFamily="34" charset="-79"/>
            </a:rPr>
            <a:t>האם מדובר</a:t>
          </a:r>
          <a:r>
            <a:rPr lang="he-IL" i="1" baseline="0">
              <a:latin typeface="David" panose="020E0502060401010101" pitchFamily="34" charset="-79"/>
              <a:cs typeface="David" panose="020E0502060401010101" pitchFamily="34" charset="-79"/>
            </a:rPr>
            <a:t> בעסקת סוכנות? לא.</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לאור שיקול הדעת של המלכ״ר בבחירת הזכאי לסכום, המזומנים שהתקבלו מהווים תרומה.</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17506</xdr:colOff>
      <xdr:row>468</xdr:row>
      <xdr:rowOff>170025</xdr:rowOff>
    </xdr:from>
    <xdr:to>
      <xdr:col>7</xdr:col>
      <xdr:colOff>532076</xdr:colOff>
      <xdr:row>493</xdr:row>
      <xdr:rowOff>147294</xdr:rowOff>
    </xdr:to>
    <xdr:sp macro="" textlink="">
      <xdr:nvSpPr>
        <xdr:cNvPr id="8" name="TextBox 7">
          <a:extLst>
            <a:ext uri="{FF2B5EF4-FFF2-40B4-BE49-F238E27FC236}">
              <a16:creationId xmlns:a16="http://schemas.microsoft.com/office/drawing/2014/main" id="{006514DB-C90D-3727-E513-845BCC8ED654}"/>
            </a:ext>
          </a:extLst>
        </xdr:cNvPr>
        <xdr:cNvSpPr txBox="1"/>
      </xdr:nvSpPr>
      <xdr:spPr>
        <a:xfrm>
          <a:off x="13507960399" y="77568015"/>
          <a:ext cx="6471786" cy="50507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הטיפול החשבונאי בעסקת סוכנות </a:t>
          </a:r>
        </a:p>
        <a:p>
          <a:pPr algn="r" rtl="1"/>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הכנסות מעסקאות סוכנות יוכרו בדוח על הפעילויות בסכום נטו:</a:t>
          </a:r>
        </a:p>
        <a:p>
          <a:pPr algn="r" rtl="1"/>
          <a:r>
            <a:rPr lang="he-IL" baseline="0">
              <a:latin typeface="David" panose="020E0502060401010101" pitchFamily="34" charset="-79"/>
              <a:cs typeface="David" panose="020E0502060401010101" pitchFamily="34" charset="-79"/>
            </a:rPr>
            <a:t>    קרי לפי ה</a:t>
          </a:r>
          <a:r>
            <a:rPr lang="he-IL">
              <a:latin typeface="David" panose="020E0502060401010101" pitchFamily="34" charset="-79"/>
              <a:cs typeface="David" panose="020E0502060401010101" pitchFamily="34" charset="-79"/>
            </a:rPr>
            <a:t>סכומים שהתקבלו עבור צד ג' </a:t>
          </a:r>
        </a:p>
        <a:p>
          <a:pPr algn="r" rtl="1"/>
          <a:r>
            <a:rPr lang="he-IL">
              <a:latin typeface="David" panose="020E0502060401010101" pitchFamily="34" charset="-79"/>
              <a:cs typeface="David" panose="020E0502060401010101" pitchFamily="34" charset="-79"/>
            </a:rPr>
            <a:t>    </a:t>
          </a:r>
          <a:r>
            <a:rPr lang="he-IL" u="sng">
              <a:latin typeface="David" panose="020E0502060401010101" pitchFamily="34" charset="-79"/>
              <a:cs typeface="David" panose="020E0502060401010101" pitchFamily="34" charset="-79"/>
            </a:rPr>
            <a:t>בניכוי</a:t>
          </a:r>
          <a:r>
            <a:rPr lang="he-IL">
              <a:latin typeface="David" panose="020E0502060401010101" pitchFamily="34" charset="-79"/>
              <a:cs typeface="David" panose="020E0502060401010101" pitchFamily="34" charset="-79"/>
            </a:rPr>
            <a:t> סכומים שעל המלכ"ר להעביר לצד ג'</a:t>
          </a:r>
        </a:p>
        <a:p>
          <a:pPr algn="r" rtl="1"/>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 בסעיף נפרד במסגרת ההכנסות.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המלכ"ר רשאי לתת גילוי בביאורים או בדוח על הפעילויות, לסכומים שהתקבלו עבור צד ג' בניכוי הסכומים שעל המלכ"ר להעביר לצד ג', אך רק הסכום נטו יוצג כהכנסות המלכ"ר מעסקאות סוכנות.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 בעסקאות סוכנות שבהן המלכ"ר מקבל מזומנים או נכסים פיננסיים אחרים, עליו להכיר בהתחייבות, בעת ההכרה בנכסים שהתקבלו. ההתחייבות תימדד בשווי ההוגן של הנכסים שהתקבלו.</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בעסקאות סוכנות שבהן המלכ"ר מקבל נכסים לא פיננסיים, למלכ"ר מותר, אך הוא אינו נדרש, להכיר בהתחייבות ובנכסים אלה. המלכ"ר יבחר במדיניות חשבונאית לגבי נכסים לא פיננסיים (תוך מתן גילוי למדיניות זו) ויישמה בעקביות.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הדגמה</a:t>
          </a:r>
        </a:p>
        <a:p>
          <a:pPr algn="r" rtl="1"/>
          <a:r>
            <a:rPr lang="he-IL">
              <a:latin typeface="David" panose="020E0502060401010101" pitchFamily="34" charset="-79"/>
              <a:cs typeface="David" panose="020E0502060401010101" pitchFamily="34" charset="-79"/>
            </a:rPr>
            <a:t>מלכ״ר קיבל תרומה של 100,000 ש״ח במזומן והתורם קבע שהסכום יועבר למר זיו דונט בניכוי 5% עבור המלכ״ר (לכיסוי תקורות הכרוכות בביצוע העסקה, כגון שכר העובדים האמונים על רישום</a:t>
          </a:r>
          <a:r>
            <a:rPr lang="he-IL" baseline="0">
              <a:latin typeface="David" panose="020E0502060401010101" pitchFamily="34" charset="-79"/>
              <a:cs typeface="David" panose="020E0502060401010101" pitchFamily="34" charset="-79"/>
            </a:rPr>
            <a:t> העסקה והוצאתה אל הפועל)</a:t>
          </a:r>
          <a:r>
            <a:rPr lang="he-IL">
              <a:latin typeface="David" panose="020E0502060401010101" pitchFamily="34" charset="-79"/>
              <a:cs typeface="David" panose="020E0502060401010101" pitchFamily="34" charset="-79"/>
            </a:rPr>
            <a:t>.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מהי פקודת היומן?</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ראשית, מבחינת סוג העסקה, עלינו לבחון</a:t>
          </a:r>
          <a:r>
            <a:rPr lang="he-IL" baseline="0">
              <a:latin typeface="David" panose="020E0502060401010101" pitchFamily="34" charset="-79"/>
              <a:cs typeface="David" panose="020E0502060401010101" pitchFamily="34" charset="-79"/>
            </a:rPr>
            <a:t> - האם מדובר בעסקת סוכנות או לא? על פי נתוני השאלה, כלל הסכום חייב לעבור לצד שלישי (מר זיו דונט) ובהתאם לא ניתן לטעון שהמלכ״ר יכול להפעיל את שיקול דעתו לשינוי כלשהו בדבר אופן הניתוב של כספי ההעברה. מדובר לפיכך בעסקת סוכנות מובהקת.</a:t>
          </a:r>
        </a:p>
        <a:p>
          <a:pPr algn="r" rtl="1"/>
          <a:r>
            <a:rPr lang="he-IL" baseline="0">
              <a:latin typeface="David" panose="020E0502060401010101" pitchFamily="34" charset="-79"/>
              <a:cs typeface="David" panose="020E0502060401010101" pitchFamily="34" charset="-79"/>
            </a:rPr>
            <a:t>עצם העובדה שחלק קטן מסכום ההעברה משרת את המלכ״ר עצמו, לא משנה את אופן הסיווג של העסקה בכללותה. מביטים על העסקה בכללותה ושופטים אותה באופן מהותי, ובהקשר זה - מדובר כאן בעסקת סוכנות רבתי. </a:t>
          </a:r>
        </a:p>
        <a:p>
          <a:pPr algn="r" rtl="1"/>
          <a:r>
            <a:rPr lang="he-IL" baseline="0">
              <a:latin typeface="David" panose="020E0502060401010101" pitchFamily="34" charset="-79"/>
              <a:cs typeface="David" panose="020E0502060401010101" pitchFamily="34" charset="-79"/>
            </a:rPr>
            <a:t>התקן קובע שבעת רישום עסקת סוכנות, נכיר בנכס המזומן שהתקבל, נכיר בהתחייבות בגין הסכום להעברה לצדדים שלישיים, כאשר הנטו (הסכום הכולל שהתקבל בניכוי הסכום להעברה) יירשם כהכנסות - בסעיף מיוחד של הכנסות מעסקאות סוכנות.</a:t>
          </a:r>
          <a:endParaRPr lang="he-I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כלומר בעת קבלת הכספים המלכ״ר ירשום: </a:t>
          </a:r>
        </a:p>
        <a:p>
          <a:pPr algn="r" rtl="1"/>
          <a:r>
            <a:rPr lang="he-IL">
              <a:latin typeface="David" panose="020E0502060401010101" pitchFamily="34" charset="-79"/>
              <a:cs typeface="David" panose="020E0502060401010101" pitchFamily="34" charset="-79"/>
            </a:rPr>
            <a:t>ח׳ מזומן 100,000 </a:t>
          </a:r>
        </a:p>
        <a:p>
          <a:pPr algn="r" rtl="1"/>
          <a:r>
            <a:rPr lang="he-IL">
              <a:latin typeface="David" panose="020E0502060401010101" pitchFamily="34" charset="-79"/>
              <a:cs typeface="David" panose="020E0502060401010101" pitchFamily="34" charset="-79"/>
            </a:rPr>
            <a:t>ז׳ התחייבות 95,000 </a:t>
          </a:r>
        </a:p>
        <a:p>
          <a:pPr algn="r" rtl="1"/>
          <a:r>
            <a:rPr lang="he-IL">
              <a:latin typeface="David" panose="020E0502060401010101" pitchFamily="34" charset="-79"/>
              <a:cs typeface="David" panose="020E0502060401010101" pitchFamily="34" charset="-79"/>
            </a:rPr>
            <a:t>ז׳ הכנסות מעסקאות סוכנות 5,000</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5</xdr:col>
      <xdr:colOff>6546</xdr:colOff>
      <xdr:row>218</xdr:row>
      <xdr:rowOff>81829</xdr:rowOff>
    </xdr:from>
    <xdr:to>
      <xdr:col>9</xdr:col>
      <xdr:colOff>231087</xdr:colOff>
      <xdr:row>220</xdr:row>
      <xdr:rowOff>192166</xdr:rowOff>
    </xdr:to>
    <xdr:pic>
      <xdr:nvPicPr>
        <xdr:cNvPr id="3" name="Picture 2">
          <a:extLst>
            <a:ext uri="{FF2B5EF4-FFF2-40B4-BE49-F238E27FC236}">
              <a16:creationId xmlns:a16="http://schemas.microsoft.com/office/drawing/2014/main" id="{BCEB9BB5-7351-49FD-349A-EC4CC7CE4351}"/>
            </a:ext>
          </a:extLst>
        </xdr:cNvPr>
        <xdr:cNvPicPr>
          <a:picLocks noChangeAspect="1"/>
        </xdr:cNvPicPr>
      </xdr:nvPicPr>
      <xdr:blipFill>
        <a:blip xmlns:r="http://schemas.openxmlformats.org/officeDocument/2006/relationships" r:embed="rId1"/>
        <a:stretch>
          <a:fillRect/>
        </a:stretch>
      </xdr:blipFill>
      <xdr:spPr>
        <a:xfrm>
          <a:off x="13506598604" y="44479458"/>
          <a:ext cx="3537015" cy="516213"/>
        </a:xfrm>
        <a:prstGeom prst="rect">
          <a:avLst/>
        </a:prstGeom>
      </xdr:spPr>
    </xdr:pic>
    <xdr:clientData/>
  </xdr:twoCellAnchor>
  <xdr:twoCellAnchor editAs="oneCell">
    <xdr:from>
      <xdr:col>8</xdr:col>
      <xdr:colOff>0</xdr:colOff>
      <xdr:row>252</xdr:row>
      <xdr:rowOff>12219</xdr:rowOff>
    </xdr:from>
    <xdr:to>
      <xdr:col>9</xdr:col>
      <xdr:colOff>664244</xdr:colOff>
      <xdr:row>258</xdr:row>
      <xdr:rowOff>5560</xdr:rowOff>
    </xdr:to>
    <xdr:pic>
      <xdr:nvPicPr>
        <xdr:cNvPr id="9" name="Picture 8">
          <a:extLst>
            <a:ext uri="{FF2B5EF4-FFF2-40B4-BE49-F238E27FC236}">
              <a16:creationId xmlns:a16="http://schemas.microsoft.com/office/drawing/2014/main" id="{6477764F-3B2D-9044-B3B9-05FA6F575731}"/>
            </a:ext>
          </a:extLst>
        </xdr:cNvPr>
        <xdr:cNvPicPr>
          <a:picLocks noChangeAspect="1"/>
        </xdr:cNvPicPr>
      </xdr:nvPicPr>
      <xdr:blipFill>
        <a:blip xmlns:r="http://schemas.openxmlformats.org/officeDocument/2006/relationships" r:embed="rId2"/>
        <a:stretch>
          <a:fillRect/>
        </a:stretch>
      </xdr:blipFill>
      <xdr:spPr>
        <a:xfrm>
          <a:off x="13544261743" y="51773074"/>
          <a:ext cx="1491415" cy="1221565"/>
        </a:xfrm>
        <a:prstGeom prst="rect">
          <a:avLst/>
        </a:prstGeom>
      </xdr:spPr>
    </xdr:pic>
    <xdr:clientData/>
  </xdr:twoCellAnchor>
  <xdr:twoCellAnchor editAs="oneCell">
    <xdr:from>
      <xdr:col>8</xdr:col>
      <xdr:colOff>401053</xdr:colOff>
      <xdr:row>255</xdr:row>
      <xdr:rowOff>181154</xdr:rowOff>
    </xdr:from>
    <xdr:to>
      <xdr:col>9</xdr:col>
      <xdr:colOff>229571</xdr:colOff>
      <xdr:row>257</xdr:row>
      <xdr:rowOff>177709</xdr:rowOff>
    </xdr:to>
    <xdr:pic>
      <xdr:nvPicPr>
        <xdr:cNvPr id="10" name="Picture 9">
          <a:extLst>
            <a:ext uri="{FF2B5EF4-FFF2-40B4-BE49-F238E27FC236}">
              <a16:creationId xmlns:a16="http://schemas.microsoft.com/office/drawing/2014/main" id="{02488E4E-7474-1042-A27D-527D7D18F5D8}"/>
            </a:ext>
          </a:extLst>
        </xdr:cNvPr>
        <xdr:cNvPicPr>
          <a:picLocks noChangeAspect="1"/>
        </xdr:cNvPicPr>
      </xdr:nvPicPr>
      <xdr:blipFill>
        <a:blip xmlns:r="http://schemas.openxmlformats.org/officeDocument/2006/relationships" r:embed="rId3"/>
        <a:stretch>
          <a:fillRect/>
        </a:stretch>
      </xdr:blipFill>
      <xdr:spPr>
        <a:xfrm>
          <a:off x="13544696416" y="52556121"/>
          <a:ext cx="655689" cy="405963"/>
        </a:xfrm>
        <a:prstGeom prst="rect">
          <a:avLst/>
        </a:prstGeom>
      </xdr:spPr>
    </xdr:pic>
    <xdr:clientData/>
  </xdr:twoCellAnchor>
  <xdr:twoCellAnchor editAs="oneCell">
    <xdr:from>
      <xdr:col>8</xdr:col>
      <xdr:colOff>353331</xdr:colOff>
      <xdr:row>250</xdr:row>
      <xdr:rowOff>138501</xdr:rowOff>
    </xdr:from>
    <xdr:to>
      <xdr:col>9</xdr:col>
      <xdr:colOff>479696</xdr:colOff>
      <xdr:row>253</xdr:row>
      <xdr:rowOff>76420</xdr:rowOff>
    </xdr:to>
    <xdr:pic>
      <xdr:nvPicPr>
        <xdr:cNvPr id="11" name="Picture 10">
          <a:extLst>
            <a:ext uri="{FF2B5EF4-FFF2-40B4-BE49-F238E27FC236}">
              <a16:creationId xmlns:a16="http://schemas.microsoft.com/office/drawing/2014/main" id="{E569F398-EA99-194B-8689-9D9DFA213B5A}"/>
            </a:ext>
          </a:extLst>
        </xdr:cNvPr>
        <xdr:cNvPicPr>
          <a:picLocks noChangeAspect="1"/>
        </xdr:cNvPicPr>
      </xdr:nvPicPr>
      <xdr:blipFill>
        <a:blip xmlns:r="http://schemas.openxmlformats.org/officeDocument/2006/relationships" r:embed="rId4"/>
        <a:stretch>
          <a:fillRect/>
        </a:stretch>
      </xdr:blipFill>
      <xdr:spPr>
        <a:xfrm rot="1751079">
          <a:off x="13544446291" y="51489948"/>
          <a:ext cx="953536" cy="552031"/>
        </a:xfrm>
        <a:prstGeom prst="rect">
          <a:avLst/>
        </a:prstGeom>
      </xdr:spPr>
    </xdr:pic>
    <xdr:clientData/>
  </xdr:twoCellAnchor>
  <xdr:twoCellAnchor>
    <xdr:from>
      <xdr:col>7</xdr:col>
      <xdr:colOff>513849</xdr:colOff>
      <xdr:row>276</xdr:row>
      <xdr:rowOff>91908</xdr:rowOff>
    </xdr:from>
    <xdr:to>
      <xdr:col>7</xdr:col>
      <xdr:colOff>802105</xdr:colOff>
      <xdr:row>276</xdr:row>
      <xdr:rowOff>96086</xdr:rowOff>
    </xdr:to>
    <xdr:cxnSp macro="">
      <xdr:nvCxnSpPr>
        <xdr:cNvPr id="13" name="Straight Connector 12">
          <a:extLst>
            <a:ext uri="{FF2B5EF4-FFF2-40B4-BE49-F238E27FC236}">
              <a16:creationId xmlns:a16="http://schemas.microsoft.com/office/drawing/2014/main" id="{653706E1-EB81-B936-CDB3-E8CC76C85AE8}"/>
            </a:ext>
          </a:extLst>
        </xdr:cNvPr>
        <xdr:cNvCxnSpPr/>
      </xdr:nvCxnSpPr>
      <xdr:spPr>
        <a:xfrm>
          <a:off x="13545778224" y="56765658"/>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505493</xdr:colOff>
      <xdr:row>276</xdr:row>
      <xdr:rowOff>96086</xdr:rowOff>
    </xdr:from>
    <xdr:to>
      <xdr:col>7</xdr:col>
      <xdr:colOff>518025</xdr:colOff>
      <xdr:row>279</xdr:row>
      <xdr:rowOff>91908</xdr:rowOff>
    </xdr:to>
    <xdr:cxnSp macro="">
      <xdr:nvCxnSpPr>
        <xdr:cNvPr id="14" name="Straight Connector 13">
          <a:extLst>
            <a:ext uri="{FF2B5EF4-FFF2-40B4-BE49-F238E27FC236}">
              <a16:creationId xmlns:a16="http://schemas.microsoft.com/office/drawing/2014/main" id="{2B7448B1-58A2-A992-A03F-C2F74AEBE06F}"/>
            </a:ext>
          </a:extLst>
        </xdr:cNvPr>
        <xdr:cNvCxnSpPr/>
      </xdr:nvCxnSpPr>
      <xdr:spPr>
        <a:xfrm>
          <a:off x="13546062304" y="56769836"/>
          <a:ext cx="12532" cy="6099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513849</xdr:colOff>
      <xdr:row>279</xdr:row>
      <xdr:rowOff>79375</xdr:rowOff>
    </xdr:from>
    <xdr:to>
      <xdr:col>7</xdr:col>
      <xdr:colOff>802105</xdr:colOff>
      <xdr:row>279</xdr:row>
      <xdr:rowOff>83553</xdr:rowOff>
    </xdr:to>
    <xdr:cxnSp macro="">
      <xdr:nvCxnSpPr>
        <xdr:cNvPr id="16" name="Straight Connector 15">
          <a:extLst>
            <a:ext uri="{FF2B5EF4-FFF2-40B4-BE49-F238E27FC236}">
              <a16:creationId xmlns:a16="http://schemas.microsoft.com/office/drawing/2014/main" id="{C27EA790-7553-4DA2-0EFB-5440F9022689}"/>
            </a:ext>
          </a:extLst>
        </xdr:cNvPr>
        <xdr:cNvCxnSpPr/>
      </xdr:nvCxnSpPr>
      <xdr:spPr>
        <a:xfrm>
          <a:off x="13545778224" y="57367237"/>
          <a:ext cx="288256" cy="417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814577</xdr:colOff>
      <xdr:row>336</xdr:row>
      <xdr:rowOff>192536</xdr:rowOff>
    </xdr:from>
    <xdr:to>
      <xdr:col>7</xdr:col>
      <xdr:colOff>166618</xdr:colOff>
      <xdr:row>342</xdr:row>
      <xdr:rowOff>18512</xdr:rowOff>
    </xdr:to>
    <xdr:sp macro="" textlink="">
      <xdr:nvSpPr>
        <xdr:cNvPr id="17" name="Right Brace 16">
          <a:extLst>
            <a:ext uri="{FF2B5EF4-FFF2-40B4-BE49-F238E27FC236}">
              <a16:creationId xmlns:a16="http://schemas.microsoft.com/office/drawing/2014/main" id="{6D57298F-F078-9819-4F15-A47986D66A41}"/>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814577</xdr:colOff>
      <xdr:row>354</xdr:row>
      <xdr:rowOff>192536</xdr:rowOff>
    </xdr:from>
    <xdr:to>
      <xdr:col>8</xdr:col>
      <xdr:colOff>166618</xdr:colOff>
      <xdr:row>360</xdr:row>
      <xdr:rowOff>18512</xdr:rowOff>
    </xdr:to>
    <xdr:sp macro="" textlink="">
      <xdr:nvSpPr>
        <xdr:cNvPr id="18" name="Right Brace 17">
          <a:extLst>
            <a:ext uri="{FF2B5EF4-FFF2-40B4-BE49-F238E27FC236}">
              <a16:creationId xmlns:a16="http://schemas.microsoft.com/office/drawing/2014/main" id="{8858B492-308B-824A-A488-52AD1997B916}"/>
            </a:ext>
          </a:extLst>
        </xdr:cNvPr>
        <xdr:cNvSpPr/>
      </xdr:nvSpPr>
      <xdr:spPr>
        <a:xfrm rot="10800000">
          <a:off x="13522078775" y="68772536"/>
          <a:ext cx="177726" cy="104784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10</xdr:col>
      <xdr:colOff>55436</xdr:colOff>
      <xdr:row>323</xdr:row>
      <xdr:rowOff>186468</xdr:rowOff>
    </xdr:from>
    <xdr:to>
      <xdr:col>12</xdr:col>
      <xdr:colOff>151190</xdr:colOff>
      <xdr:row>328</xdr:row>
      <xdr:rowOff>55436</xdr:rowOff>
    </xdr:to>
    <xdr:sp macro="" textlink="">
      <xdr:nvSpPr>
        <xdr:cNvPr id="19" name="Rounded Rectangle 18">
          <a:extLst>
            <a:ext uri="{FF2B5EF4-FFF2-40B4-BE49-F238E27FC236}">
              <a16:creationId xmlns:a16="http://schemas.microsoft.com/office/drawing/2014/main" id="{F6ADA4B6-BC11-93F0-157D-3AF9A74579AF}"/>
            </a:ext>
          </a:extLst>
        </xdr:cNvPr>
        <xdr:cNvSpPr/>
      </xdr:nvSpPr>
      <xdr:spPr>
        <a:xfrm>
          <a:off x="13531436746" y="65510833"/>
          <a:ext cx="1748770" cy="87690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יש כאן הטבה בצורה של דמי חכירה (שכירות) מופחתים (מתחת למחיר השוק) לתקופה ארוכה</a:t>
          </a:r>
          <a:endParaRPr lang="en-US" sz="1100"/>
        </a:p>
      </xdr:txBody>
    </xdr:sp>
    <xdr:clientData/>
  </xdr:twoCellAnchor>
  <xdr:twoCellAnchor>
    <xdr:from>
      <xdr:col>11</xdr:col>
      <xdr:colOff>100793</xdr:colOff>
      <xdr:row>328</xdr:row>
      <xdr:rowOff>55436</xdr:rowOff>
    </xdr:from>
    <xdr:to>
      <xdr:col>11</xdr:col>
      <xdr:colOff>103313</xdr:colOff>
      <xdr:row>332</xdr:row>
      <xdr:rowOff>105833</xdr:rowOff>
    </xdr:to>
    <xdr:cxnSp macro="">
      <xdr:nvCxnSpPr>
        <xdr:cNvPr id="21" name="Straight Arrow Connector 20">
          <a:extLst>
            <a:ext uri="{FF2B5EF4-FFF2-40B4-BE49-F238E27FC236}">
              <a16:creationId xmlns:a16="http://schemas.microsoft.com/office/drawing/2014/main" id="{6F0435F7-FC2D-28C4-D0DF-9B7283FADF74}"/>
            </a:ext>
          </a:extLst>
        </xdr:cNvPr>
        <xdr:cNvCxnSpPr>
          <a:stCxn id="19" idx="2"/>
        </xdr:cNvCxnSpPr>
      </xdr:nvCxnSpPr>
      <xdr:spPr>
        <a:xfrm>
          <a:off x="13532311131" y="66387738"/>
          <a:ext cx="2520" cy="85674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90714</xdr:colOff>
      <xdr:row>332</xdr:row>
      <xdr:rowOff>136070</xdr:rowOff>
    </xdr:from>
    <xdr:to>
      <xdr:col>12</xdr:col>
      <xdr:colOff>186468</xdr:colOff>
      <xdr:row>336</xdr:row>
      <xdr:rowOff>65516</xdr:rowOff>
    </xdr:to>
    <xdr:sp macro="" textlink="">
      <xdr:nvSpPr>
        <xdr:cNvPr id="22" name="Rounded Rectangle 21">
          <a:extLst>
            <a:ext uri="{FF2B5EF4-FFF2-40B4-BE49-F238E27FC236}">
              <a16:creationId xmlns:a16="http://schemas.microsoft.com/office/drawing/2014/main" id="{52C16874-09DB-D980-BF7F-01D743964F8F}"/>
            </a:ext>
          </a:extLst>
        </xdr:cNvPr>
        <xdr:cNvSpPr/>
      </xdr:nvSpPr>
      <xdr:spPr>
        <a:xfrm>
          <a:off x="13531401468" y="67274721"/>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לדמי החכירה המופחתים (מה שהחברה תשלם)</a:t>
          </a:r>
          <a:endParaRPr lang="en-US" sz="1100"/>
        </a:p>
      </xdr:txBody>
    </xdr:sp>
    <xdr:clientData/>
  </xdr:twoCellAnchor>
  <xdr:twoCellAnchor>
    <xdr:from>
      <xdr:col>10</xdr:col>
      <xdr:colOff>85675</xdr:colOff>
      <xdr:row>338</xdr:row>
      <xdr:rowOff>120951</xdr:rowOff>
    </xdr:from>
    <xdr:to>
      <xdr:col>12</xdr:col>
      <xdr:colOff>181429</xdr:colOff>
      <xdr:row>342</xdr:row>
      <xdr:rowOff>50397</xdr:rowOff>
    </xdr:to>
    <xdr:sp macro="" textlink="">
      <xdr:nvSpPr>
        <xdr:cNvPr id="23" name="Rounded Rectangle 22">
          <a:extLst>
            <a:ext uri="{FF2B5EF4-FFF2-40B4-BE49-F238E27FC236}">
              <a16:creationId xmlns:a16="http://schemas.microsoft.com/office/drawing/2014/main" id="{2213C0E0-B9FD-F1DC-B94A-73757DC55896}"/>
            </a:ext>
          </a:extLst>
        </xdr:cNvPr>
        <xdr:cNvSpPr/>
      </xdr:nvSpPr>
      <xdr:spPr>
        <a:xfrm>
          <a:off x="13531406507" y="68469126"/>
          <a:ext cx="1748770" cy="73579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סכום זה, יוכר נכס זכות שימוש (בחובה) והתחייבות בגין חכירה (בזכות)</a:t>
          </a:r>
          <a:endParaRPr lang="en-US" sz="1100"/>
        </a:p>
      </xdr:txBody>
    </xdr:sp>
    <xdr:clientData/>
  </xdr:twoCellAnchor>
  <xdr:twoCellAnchor>
    <xdr:from>
      <xdr:col>11</xdr:col>
      <xdr:colOff>85674</xdr:colOff>
      <xdr:row>336</xdr:row>
      <xdr:rowOff>95755</xdr:rowOff>
    </xdr:from>
    <xdr:to>
      <xdr:col>11</xdr:col>
      <xdr:colOff>85674</xdr:colOff>
      <xdr:row>338</xdr:row>
      <xdr:rowOff>60476</xdr:rowOff>
    </xdr:to>
    <xdr:cxnSp macro="">
      <xdr:nvCxnSpPr>
        <xdr:cNvPr id="24" name="Straight Arrow Connector 23">
          <a:extLst>
            <a:ext uri="{FF2B5EF4-FFF2-40B4-BE49-F238E27FC236}">
              <a16:creationId xmlns:a16="http://schemas.microsoft.com/office/drawing/2014/main" id="{F1864549-EF3D-70E5-346D-FAA47FEECC94}"/>
            </a:ext>
          </a:extLst>
        </xdr:cNvPr>
        <xdr:cNvCxnSpPr/>
      </xdr:nvCxnSpPr>
      <xdr:spPr>
        <a:xfrm>
          <a:off x="13532328770" y="68040755"/>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95754</xdr:colOff>
      <xdr:row>342</xdr:row>
      <xdr:rowOff>80636</xdr:rowOff>
    </xdr:from>
    <xdr:to>
      <xdr:col>11</xdr:col>
      <xdr:colOff>100794</xdr:colOff>
      <xdr:row>349</xdr:row>
      <xdr:rowOff>10079</xdr:rowOff>
    </xdr:to>
    <xdr:cxnSp macro="">
      <xdr:nvCxnSpPr>
        <xdr:cNvPr id="26" name="Straight Arrow Connector 25">
          <a:extLst>
            <a:ext uri="{FF2B5EF4-FFF2-40B4-BE49-F238E27FC236}">
              <a16:creationId xmlns:a16="http://schemas.microsoft.com/office/drawing/2014/main" id="{6AA03CAC-5508-9AD0-D4E2-A49DF5AB9181}"/>
            </a:ext>
          </a:extLst>
        </xdr:cNvPr>
        <xdr:cNvCxnSpPr/>
      </xdr:nvCxnSpPr>
      <xdr:spPr>
        <a:xfrm>
          <a:off x="13532313650" y="69235160"/>
          <a:ext cx="5040" cy="134055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60476</xdr:colOff>
      <xdr:row>349</xdr:row>
      <xdr:rowOff>20158</xdr:rowOff>
    </xdr:from>
    <xdr:to>
      <xdr:col>12</xdr:col>
      <xdr:colOff>156230</xdr:colOff>
      <xdr:row>353</xdr:row>
      <xdr:rowOff>141112</xdr:rowOff>
    </xdr:to>
    <xdr:sp macro="" textlink="">
      <xdr:nvSpPr>
        <xdr:cNvPr id="28" name="Rounded Rectangle 27">
          <a:extLst>
            <a:ext uri="{FF2B5EF4-FFF2-40B4-BE49-F238E27FC236}">
              <a16:creationId xmlns:a16="http://schemas.microsoft.com/office/drawing/2014/main" id="{37846DDD-AE7E-0532-9B41-107DB43706F4}"/>
            </a:ext>
          </a:extLst>
        </xdr:cNvPr>
        <xdr:cNvSpPr/>
      </xdr:nvSpPr>
      <xdr:spPr>
        <a:xfrm>
          <a:off x="13531431706" y="70585793"/>
          <a:ext cx="1748770" cy="9273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מחשב ערך נוכחי </a:t>
          </a:r>
          <a:r>
            <a:rPr lang="en-US" sz="1100"/>
            <a:t>PV</a:t>
          </a:r>
          <a:r>
            <a:rPr lang="he-IL" sz="1100"/>
            <a:t> להטבה:</a:t>
          </a:r>
          <a:r>
            <a:rPr lang="he-IL" sz="1100" baseline="0"/>
            <a:t> ההפרש בין דמי החכירה בתנאי שוק לבין דמי החכירה המופחתים</a:t>
          </a:r>
          <a:endParaRPr lang="en-US" sz="1100"/>
        </a:p>
      </xdr:txBody>
    </xdr:sp>
    <xdr:clientData/>
  </xdr:twoCellAnchor>
  <xdr:twoCellAnchor>
    <xdr:from>
      <xdr:col>11</xdr:col>
      <xdr:colOff>95754</xdr:colOff>
      <xdr:row>353</xdr:row>
      <xdr:rowOff>156232</xdr:rowOff>
    </xdr:from>
    <xdr:to>
      <xdr:col>11</xdr:col>
      <xdr:colOff>95754</xdr:colOff>
      <xdr:row>355</xdr:row>
      <xdr:rowOff>120953</xdr:rowOff>
    </xdr:to>
    <xdr:cxnSp macro="">
      <xdr:nvCxnSpPr>
        <xdr:cNvPr id="29" name="Straight Arrow Connector 28">
          <a:extLst>
            <a:ext uri="{FF2B5EF4-FFF2-40B4-BE49-F238E27FC236}">
              <a16:creationId xmlns:a16="http://schemas.microsoft.com/office/drawing/2014/main" id="{933B3503-A782-F41A-792C-231ADAFE5DED}"/>
            </a:ext>
          </a:extLst>
        </xdr:cNvPr>
        <xdr:cNvCxnSpPr/>
      </xdr:nvCxnSpPr>
      <xdr:spPr>
        <a:xfrm>
          <a:off x="13532318690" y="71528216"/>
          <a:ext cx="0" cy="36789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362857</xdr:colOff>
      <xdr:row>355</xdr:row>
      <xdr:rowOff>131032</xdr:rowOff>
    </xdr:from>
    <xdr:to>
      <xdr:col>12</xdr:col>
      <xdr:colOff>443492</xdr:colOff>
      <xdr:row>359</xdr:row>
      <xdr:rowOff>60477</xdr:rowOff>
    </xdr:to>
    <xdr:sp macro="" textlink="">
      <xdr:nvSpPr>
        <xdr:cNvPr id="30" name="Rounded Rectangle 29">
          <a:extLst>
            <a:ext uri="{FF2B5EF4-FFF2-40B4-BE49-F238E27FC236}">
              <a16:creationId xmlns:a16="http://schemas.microsoft.com/office/drawing/2014/main" id="{103EB369-4AD5-3793-9609-D6F59053D11E}"/>
            </a:ext>
          </a:extLst>
        </xdr:cNvPr>
        <xdr:cNvSpPr/>
      </xdr:nvSpPr>
      <xdr:spPr>
        <a:xfrm>
          <a:off x="13531144444" y="71906191"/>
          <a:ext cx="1733651" cy="73579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בגין ה-</a:t>
          </a:r>
          <a:r>
            <a:rPr lang="en-US" sz="1100"/>
            <a:t>PV</a:t>
          </a:r>
          <a:r>
            <a:rPr lang="he-IL" sz="1100"/>
            <a:t> של ההטבה: מכירים בנכס חייבים</a:t>
          </a:r>
          <a:r>
            <a:rPr lang="he-IL" sz="1100" baseline="0"/>
            <a:t> כנגד ננ״ה מוגבלת</a:t>
          </a:r>
          <a:endParaRPr lang="en-US" sz="1100"/>
        </a:p>
      </xdr:txBody>
    </xdr:sp>
    <xdr:clientData/>
  </xdr:twoCellAnchor>
  <xdr:twoCellAnchor>
    <xdr:from>
      <xdr:col>11</xdr:col>
      <xdr:colOff>9136</xdr:colOff>
      <xdr:row>365</xdr:row>
      <xdr:rowOff>192535</xdr:rowOff>
    </xdr:from>
    <xdr:to>
      <xdr:col>11</xdr:col>
      <xdr:colOff>166618</xdr:colOff>
      <xdr:row>372</xdr:row>
      <xdr:rowOff>31977</xdr:rowOff>
    </xdr:to>
    <xdr:sp macro="" textlink="">
      <xdr:nvSpPr>
        <xdr:cNvPr id="31" name="Right Brace 30">
          <a:extLst>
            <a:ext uri="{FF2B5EF4-FFF2-40B4-BE49-F238E27FC236}">
              <a16:creationId xmlns:a16="http://schemas.microsoft.com/office/drawing/2014/main" id="{2E0AF067-A576-154A-975B-367D919BDECA}"/>
            </a:ext>
          </a:extLst>
        </xdr:cNvPr>
        <xdr:cNvSpPr/>
      </xdr:nvSpPr>
      <xdr:spPr>
        <a:xfrm rot="10800000">
          <a:off x="13538184137" y="73752031"/>
          <a:ext cx="157482" cy="124649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14</xdr:col>
      <xdr:colOff>31883</xdr:colOff>
      <xdr:row>364</xdr:row>
      <xdr:rowOff>8814</xdr:rowOff>
    </xdr:from>
    <xdr:to>
      <xdr:col>16</xdr:col>
      <xdr:colOff>135291</xdr:colOff>
      <xdr:row>370</xdr:row>
      <xdr:rowOff>180669</xdr:rowOff>
    </xdr:to>
    <xdr:sp macro="" textlink="">
      <xdr:nvSpPr>
        <xdr:cNvPr id="32" name="Rounded Rectangle 31">
          <a:extLst>
            <a:ext uri="{FF2B5EF4-FFF2-40B4-BE49-F238E27FC236}">
              <a16:creationId xmlns:a16="http://schemas.microsoft.com/office/drawing/2014/main" id="{6E851C43-1D55-B2B2-BF04-C329FDE19369}"/>
            </a:ext>
          </a:extLst>
        </xdr:cNvPr>
        <xdr:cNvSpPr/>
      </xdr:nvSpPr>
      <xdr:spPr>
        <a:xfrm>
          <a:off x="13481206968" y="73732580"/>
          <a:ext cx="1750689" cy="13834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בחלוף</a:t>
          </a:r>
          <a:r>
            <a:rPr lang="he-IL" sz="1100" baseline="0"/>
            <a:t> שנה: מכירים בשערוך נכס החייבים בהתאם לריבית לתקופה אחת</a:t>
          </a:r>
        </a:p>
        <a:p>
          <a:pPr algn="ctr" rtl="1"/>
          <a:endParaRPr lang="he-IL" sz="1100" baseline="0"/>
        </a:p>
        <a:p>
          <a:pPr algn="ctr" rtl="1"/>
          <a:r>
            <a:rPr lang="he-IL" sz="1100" baseline="0"/>
            <a:t>עלייה בנכס החייבים כנגד ננ״ה מוגבלת</a:t>
          </a:r>
          <a:endParaRPr lang="en-US" sz="1100"/>
        </a:p>
      </xdr:txBody>
    </xdr:sp>
    <xdr:clientData/>
  </xdr:twoCellAnchor>
  <xdr:twoCellAnchor>
    <xdr:from>
      <xdr:col>12</xdr:col>
      <xdr:colOff>456987</xdr:colOff>
      <xdr:row>358</xdr:row>
      <xdr:rowOff>180669</xdr:rowOff>
    </xdr:from>
    <xdr:to>
      <xdr:col>14</xdr:col>
      <xdr:colOff>807805</xdr:colOff>
      <xdr:row>363</xdr:row>
      <xdr:rowOff>195347</xdr:rowOff>
    </xdr:to>
    <xdr:cxnSp macro="">
      <xdr:nvCxnSpPr>
        <xdr:cNvPr id="33" name="Straight Arrow Connector 32">
          <a:extLst>
            <a:ext uri="{FF2B5EF4-FFF2-40B4-BE49-F238E27FC236}">
              <a16:creationId xmlns:a16="http://schemas.microsoft.com/office/drawing/2014/main" id="{5A09EF04-0A7A-7E24-977E-08068DEC69AB}"/>
            </a:ext>
          </a:extLst>
        </xdr:cNvPr>
        <xdr:cNvCxnSpPr/>
      </xdr:nvCxnSpPr>
      <xdr:spPr>
        <a:xfrm flipH="1">
          <a:off x="13482181735" y="72692887"/>
          <a:ext cx="1998098" cy="102430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223181</xdr:colOff>
      <xdr:row>373</xdr:row>
      <xdr:rowOff>109777</xdr:rowOff>
    </xdr:from>
    <xdr:to>
      <xdr:col>11</xdr:col>
      <xdr:colOff>326589</xdr:colOff>
      <xdr:row>378</xdr:row>
      <xdr:rowOff>127532</xdr:rowOff>
    </xdr:to>
    <xdr:sp macro="" textlink="">
      <xdr:nvSpPr>
        <xdr:cNvPr id="35" name="Rounded Rectangle 34">
          <a:extLst>
            <a:ext uri="{FF2B5EF4-FFF2-40B4-BE49-F238E27FC236}">
              <a16:creationId xmlns:a16="http://schemas.microsoft.com/office/drawing/2014/main" id="{D17942B8-4F74-07ED-2917-25EA44010E7C}"/>
            </a:ext>
          </a:extLst>
        </xdr:cNvPr>
        <xdr:cNvSpPr/>
      </xdr:nvSpPr>
      <xdr:spPr>
        <a:xfrm>
          <a:off x="13485133871" y="75650865"/>
          <a:ext cx="1750689" cy="10273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בניצול ההטבה לשנה אחת:</a:t>
          </a:r>
        </a:p>
        <a:p>
          <a:pPr algn="ctr" rtl="1"/>
          <a:endParaRPr lang="he-IL" sz="1100"/>
        </a:p>
        <a:p>
          <a:pPr algn="ctr" rtl="1"/>
          <a:r>
            <a:rPr lang="he-IL" sz="1100"/>
            <a:t>כהוצאה אל מול ירידה בנכס החייבים</a:t>
          </a:r>
          <a:endParaRPr lang="en-US" sz="1100"/>
        </a:p>
      </xdr:txBody>
    </xdr:sp>
    <xdr:clientData/>
  </xdr:twoCellAnchor>
  <xdr:twoCellAnchor>
    <xdr:from>
      <xdr:col>11</xdr:col>
      <xdr:colOff>326589</xdr:colOff>
      <xdr:row>370</xdr:row>
      <xdr:rowOff>180669</xdr:rowOff>
    </xdr:from>
    <xdr:to>
      <xdr:col>15</xdr:col>
      <xdr:colOff>83587</xdr:colOff>
      <xdr:row>376</xdr:row>
      <xdr:rowOff>17692</xdr:rowOff>
    </xdr:to>
    <xdr:cxnSp macro="">
      <xdr:nvCxnSpPr>
        <xdr:cNvPr id="36" name="Straight Arrow Connector 35">
          <a:extLst>
            <a:ext uri="{FF2B5EF4-FFF2-40B4-BE49-F238E27FC236}">
              <a16:creationId xmlns:a16="http://schemas.microsoft.com/office/drawing/2014/main" id="{7E82DFFD-6BC5-B1AA-6C6B-5A363253E63D}"/>
            </a:ext>
          </a:extLst>
        </xdr:cNvPr>
        <xdr:cNvCxnSpPr>
          <a:stCxn id="32" idx="2"/>
          <a:endCxn id="35" idx="1"/>
        </xdr:cNvCxnSpPr>
      </xdr:nvCxnSpPr>
      <xdr:spPr>
        <a:xfrm>
          <a:off x="13482082313" y="75115983"/>
          <a:ext cx="3051558" cy="104857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308200</xdr:colOff>
      <xdr:row>378</xdr:row>
      <xdr:rowOff>111590</xdr:rowOff>
    </xdr:from>
    <xdr:to>
      <xdr:col>10</xdr:col>
      <xdr:colOff>312079</xdr:colOff>
      <xdr:row>379</xdr:row>
      <xdr:rowOff>154100</xdr:rowOff>
    </xdr:to>
    <xdr:cxnSp macro="">
      <xdr:nvCxnSpPr>
        <xdr:cNvPr id="41" name="Straight Arrow Connector 40">
          <a:extLst>
            <a:ext uri="{FF2B5EF4-FFF2-40B4-BE49-F238E27FC236}">
              <a16:creationId xmlns:a16="http://schemas.microsoft.com/office/drawing/2014/main" id="{DC538A24-B9CB-5858-D596-CC508294710D}"/>
            </a:ext>
          </a:extLst>
        </xdr:cNvPr>
        <xdr:cNvCxnSpPr/>
      </xdr:nvCxnSpPr>
      <xdr:spPr>
        <a:xfrm>
          <a:off x="13485972021" y="76662301"/>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47825</xdr:colOff>
      <xdr:row>379</xdr:row>
      <xdr:rowOff>184171</xdr:rowOff>
    </xdr:from>
    <xdr:to>
      <xdr:col>12</xdr:col>
      <xdr:colOff>151234</xdr:colOff>
      <xdr:row>382</xdr:row>
      <xdr:rowOff>116904</xdr:rowOff>
    </xdr:to>
    <xdr:sp macro="" textlink="">
      <xdr:nvSpPr>
        <xdr:cNvPr id="44" name="Rounded Rectangle 43">
          <a:extLst>
            <a:ext uri="{FF2B5EF4-FFF2-40B4-BE49-F238E27FC236}">
              <a16:creationId xmlns:a16="http://schemas.microsoft.com/office/drawing/2014/main" id="{31CF0D69-82F0-BAC0-6819-3C24C7864605}"/>
            </a:ext>
          </a:extLst>
        </xdr:cNvPr>
        <xdr:cNvSpPr/>
      </xdr:nvSpPr>
      <xdr:spPr>
        <a:xfrm>
          <a:off x="13484485586" y="76936807"/>
          <a:ext cx="1750689" cy="5385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וכן בהכנסות שחרור מהגבלה בסכום זה</a:t>
          </a:r>
          <a:endParaRPr lang="en-US" sz="1100"/>
        </a:p>
      </xdr:txBody>
    </xdr:sp>
    <xdr:clientData/>
  </xdr:twoCellAnchor>
  <xdr:twoCellAnchor>
    <xdr:from>
      <xdr:col>11</xdr:col>
      <xdr:colOff>100961</xdr:colOff>
      <xdr:row>382</xdr:row>
      <xdr:rowOff>138159</xdr:rowOff>
    </xdr:from>
    <xdr:to>
      <xdr:col>11</xdr:col>
      <xdr:colOff>104840</xdr:colOff>
      <xdr:row>383</xdr:row>
      <xdr:rowOff>180669</xdr:rowOff>
    </xdr:to>
    <xdr:cxnSp macro="">
      <xdr:nvCxnSpPr>
        <xdr:cNvPr id="45" name="Straight Arrow Connector 44">
          <a:extLst>
            <a:ext uri="{FF2B5EF4-FFF2-40B4-BE49-F238E27FC236}">
              <a16:creationId xmlns:a16="http://schemas.microsoft.com/office/drawing/2014/main" id="{C79A395C-1168-75A3-9E36-F79FADD68CAB}"/>
            </a:ext>
          </a:extLst>
        </xdr:cNvPr>
        <xdr:cNvCxnSpPr/>
      </xdr:nvCxnSpPr>
      <xdr:spPr>
        <a:xfrm>
          <a:off x="13485355620" y="77496569"/>
          <a:ext cx="3879" cy="24443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329457</xdr:colOff>
      <xdr:row>384</xdr:row>
      <xdr:rowOff>30071</xdr:rowOff>
    </xdr:from>
    <xdr:to>
      <xdr:col>12</xdr:col>
      <xdr:colOff>432866</xdr:colOff>
      <xdr:row>387</xdr:row>
      <xdr:rowOff>79708</xdr:rowOff>
    </xdr:to>
    <xdr:sp macro="" textlink="">
      <xdr:nvSpPr>
        <xdr:cNvPr id="46" name="Rounded Rectangle 45">
          <a:extLst>
            <a:ext uri="{FF2B5EF4-FFF2-40B4-BE49-F238E27FC236}">
              <a16:creationId xmlns:a16="http://schemas.microsoft.com/office/drawing/2014/main" id="{F6A895DE-D501-E027-097C-AF8CF8F3E50D}"/>
            </a:ext>
          </a:extLst>
        </xdr:cNvPr>
        <xdr:cNvSpPr/>
      </xdr:nvSpPr>
      <xdr:spPr>
        <a:xfrm>
          <a:off x="13484203954" y="77792330"/>
          <a:ext cx="1750689"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פקודת פחת בהתאם לשווי נכס</a:t>
          </a:r>
          <a:r>
            <a:rPr lang="he-IL" sz="1100" baseline="0"/>
            <a:t> הזכות השימוש במועד ההכרה</a:t>
          </a:r>
          <a:endParaRPr lang="en-US" sz="1100"/>
        </a:p>
      </xdr:txBody>
    </xdr:sp>
    <xdr:clientData/>
  </xdr:twoCellAnchor>
  <xdr:twoCellAnchor>
    <xdr:from>
      <xdr:col>10</xdr:col>
      <xdr:colOff>164728</xdr:colOff>
      <xdr:row>387</xdr:row>
      <xdr:rowOff>122218</xdr:rowOff>
    </xdr:from>
    <xdr:to>
      <xdr:col>11</xdr:col>
      <xdr:colOff>120781</xdr:colOff>
      <xdr:row>389</xdr:row>
      <xdr:rowOff>42510</xdr:rowOff>
    </xdr:to>
    <xdr:cxnSp macro="">
      <xdr:nvCxnSpPr>
        <xdr:cNvPr id="47" name="Straight Arrow Connector 46">
          <a:extLst>
            <a:ext uri="{FF2B5EF4-FFF2-40B4-BE49-F238E27FC236}">
              <a16:creationId xmlns:a16="http://schemas.microsoft.com/office/drawing/2014/main" id="{ED2C523A-8145-2D04-F305-9A4684B0BB16}"/>
            </a:ext>
          </a:extLst>
        </xdr:cNvPr>
        <xdr:cNvCxnSpPr/>
      </xdr:nvCxnSpPr>
      <xdr:spPr>
        <a:xfrm>
          <a:off x="13485339679" y="78490251"/>
          <a:ext cx="779693" cy="3241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356025</xdr:colOff>
      <xdr:row>388</xdr:row>
      <xdr:rowOff>3501</xdr:rowOff>
    </xdr:from>
    <xdr:to>
      <xdr:col>10</xdr:col>
      <xdr:colOff>87468</xdr:colOff>
      <xdr:row>391</xdr:row>
      <xdr:rowOff>53138</xdr:rowOff>
    </xdr:to>
    <xdr:sp macro="" textlink="">
      <xdr:nvSpPr>
        <xdr:cNvPr id="48" name="Rounded Rectangle 47">
          <a:extLst>
            <a:ext uri="{FF2B5EF4-FFF2-40B4-BE49-F238E27FC236}">
              <a16:creationId xmlns:a16="http://schemas.microsoft.com/office/drawing/2014/main" id="{2D97FBD1-D3C3-9061-104B-DA917A065695}"/>
            </a:ext>
          </a:extLst>
        </xdr:cNvPr>
        <xdr:cNvSpPr/>
      </xdr:nvSpPr>
      <xdr:spPr>
        <a:xfrm>
          <a:off x="13486196632" y="78573459"/>
          <a:ext cx="2202364" cy="655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מכירים בתשלום בפועל בגין החכירה, בהוצאות מימון בגינה ובשינוי בהתחייבות</a:t>
          </a:r>
          <a:r>
            <a:rPr lang="he-IL" sz="1100" baseline="0"/>
            <a:t> P</a:t>
          </a:r>
          <a:r>
            <a:rPr lang="en-US" sz="1100" baseline="0"/>
            <a:t>N</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38100</xdr:colOff>
      <xdr:row>2</xdr:row>
      <xdr:rowOff>184150</xdr:rowOff>
    </xdr:from>
    <xdr:to>
      <xdr:col>7</xdr:col>
      <xdr:colOff>711346</xdr:colOff>
      <xdr:row>34</xdr:row>
      <xdr:rowOff>0</xdr:rowOff>
    </xdr:to>
    <xdr:sp macro="" textlink="">
      <xdr:nvSpPr>
        <xdr:cNvPr id="2" name="TextBox 1">
          <a:extLst>
            <a:ext uri="{FF2B5EF4-FFF2-40B4-BE49-F238E27FC236}">
              <a16:creationId xmlns:a16="http://schemas.microsoft.com/office/drawing/2014/main" id="{1CA1D1EF-182A-CA40-9385-FD5CCC8CFF79}"/>
            </a:ext>
          </a:extLst>
        </xdr:cNvPr>
        <xdr:cNvSpPr txBox="1"/>
      </xdr:nvSpPr>
      <xdr:spPr>
        <a:xfrm>
          <a:off x="13512940980" y="591637"/>
          <a:ext cx="6449369" cy="63356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תרומות בתנאי אנונה</a:t>
          </a:r>
        </a:p>
        <a:p>
          <a:pPr algn="r" rtl="1"/>
          <a:r>
            <a:rPr lang="he-IL">
              <a:latin typeface="David" panose="020E0502060401010101" pitchFamily="34" charset="-79"/>
              <a:cs typeface="David" panose="020E0502060401010101" pitchFamily="34" charset="-79"/>
            </a:rPr>
            <a:t>קרן אנונה כוללת נכסים נטו שהתקבלו בהתניה שהמלכ"ר ישלם לתורם, או לפקודתו, סכומים מסוימים לכל ימי חייו או לתקופה אחרת שהוסכמה עמו. </a:t>
          </a:r>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עם פקיעת ההתחייבות האמורה הנכסים שנותרו מועברים לשימוש חופשי של המלכ"ר או למטרות מוגדרות שנקבעו על ידי התורם. </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אופן</a:t>
          </a:r>
          <a:r>
            <a:rPr lang="he-IL" baseline="0">
              <a:latin typeface="David" panose="020E0502060401010101" pitchFamily="34" charset="-79"/>
              <a:cs typeface="David" panose="020E0502060401010101" pitchFamily="34" charset="-79"/>
            </a:rPr>
            <a:t> הטיפול:</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במועד קבלת התרומה יש להכיר </a:t>
          </a:r>
          <a:r>
            <a:rPr lang="he-IL" u="sng">
              <a:latin typeface="David" panose="020E0502060401010101" pitchFamily="34" charset="-79"/>
              <a:cs typeface="David" panose="020E0502060401010101" pitchFamily="34" charset="-79"/>
            </a:rPr>
            <a:t>בהתחייבות על בסיס ערך אקטוארי </a:t>
          </a:r>
          <a:r>
            <a:rPr lang="he-IL">
              <a:latin typeface="David" panose="020E0502060401010101" pitchFamily="34" charset="-79"/>
              <a:cs typeface="David" panose="020E0502060401010101" pitchFamily="34" charset="-79"/>
            </a:rPr>
            <a:t>(ערך נוכחי של תזרימי המזומנים החזויים להיות משולמים לתורם או לפקודתו).</a:t>
          </a:r>
        </a:p>
        <a:p>
          <a:pPr algn="r" rtl="1"/>
          <a:r>
            <a:rPr lang="he-IL">
              <a:latin typeface="David" panose="020E0502060401010101" pitchFamily="34" charset="-79"/>
              <a:cs typeface="David" panose="020E0502060401010101" pitchFamily="34" charset="-79"/>
            </a:rPr>
            <a:t>ההפרש בין </a:t>
          </a:r>
          <a:r>
            <a:rPr lang="he-IL" u="sng">
              <a:latin typeface="David" panose="020E0502060401010101" pitchFamily="34" charset="-79"/>
              <a:cs typeface="David" panose="020E0502060401010101" pitchFamily="34" charset="-79"/>
            </a:rPr>
            <a:t>הסכום שהתקבל </a:t>
          </a:r>
          <a:r>
            <a:rPr lang="he-IL">
              <a:latin typeface="David" panose="020E0502060401010101" pitchFamily="34" charset="-79"/>
              <a:cs typeface="David" panose="020E0502060401010101" pitchFamily="34" charset="-79"/>
            </a:rPr>
            <a:t>לבין </a:t>
          </a:r>
          <a:r>
            <a:rPr lang="he-IL" u="sng">
              <a:latin typeface="David" panose="020E0502060401010101" pitchFamily="34" charset="-79"/>
              <a:cs typeface="David" panose="020E0502060401010101" pitchFamily="34" charset="-79"/>
            </a:rPr>
            <a:t>סכום ההתחייבות </a:t>
          </a:r>
          <a:r>
            <a:rPr lang="he-IL">
              <a:latin typeface="David" panose="020E0502060401010101" pitchFamily="34" charset="-79"/>
              <a:cs typeface="David" panose="020E0502060401010101" pitchFamily="34" charset="-79"/>
            </a:rPr>
            <a:t>יוכר כהכנסה או כתוספת לנכסים נטו המוגבלים- </a:t>
          </a:r>
        </a:p>
        <a:p>
          <a:pPr algn="r" rtl="1"/>
          <a:r>
            <a:rPr lang="he-IL">
              <a:latin typeface="David" panose="020E0502060401010101" pitchFamily="34" charset="-79"/>
              <a:cs typeface="David" panose="020E0502060401010101" pitchFamily="34" charset="-79"/>
            </a:rPr>
            <a:t>בהתאם להתניות התורם לגבי השימוש ביתרת התרומה. </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פקודת היומן - להכרה במועד ההתקשרות בעסקת האנונה: </a:t>
          </a:r>
        </a:p>
        <a:p>
          <a:pPr algn="r" rtl="1"/>
          <a:r>
            <a:rPr lang="he-IL">
              <a:latin typeface="David" panose="020E0502060401010101" pitchFamily="34" charset="-79"/>
              <a:cs typeface="David" panose="020E0502060401010101" pitchFamily="34" charset="-79"/>
            </a:rPr>
            <a:t>ח׳ מזומן - מזומן שהתקבל </a:t>
          </a:r>
        </a:p>
        <a:p>
          <a:pPr algn="r" rtl="1"/>
          <a:r>
            <a:rPr lang="he-IL">
              <a:latin typeface="David" panose="020E0502060401010101" pitchFamily="34" charset="-79"/>
              <a:cs typeface="David" panose="020E0502060401010101" pitchFamily="34" charset="-79"/>
            </a:rPr>
            <a:t>ז׳ התחייבות בגין אנונה (אנונה לשלם) - לפי הערכה אקטוארית (</a:t>
          </a:r>
          <a:r>
            <a:rPr lang="en-US">
              <a:latin typeface="David" panose="020E0502060401010101" pitchFamily="34" charset="-79"/>
              <a:cs typeface="David" panose="020E0502060401010101" pitchFamily="34" charset="-79"/>
            </a:rPr>
            <a:t>PV</a:t>
          </a:r>
          <a:r>
            <a:rPr lang="he-IL">
              <a:latin typeface="David" panose="020E0502060401010101" pitchFamily="34" charset="-79"/>
              <a:cs typeface="David" panose="020E0502060401010101" pitchFamily="34" charset="-79"/>
            </a:rPr>
            <a:t> של תזרימי אנונה)</a:t>
          </a:r>
        </a:p>
        <a:p>
          <a:pPr algn="r" rtl="1"/>
          <a:r>
            <a:rPr lang="he-IL">
              <a:latin typeface="David" panose="020E0502060401010101" pitchFamily="34" charset="-79"/>
              <a:cs typeface="David" panose="020E0502060401010101" pitchFamily="34" charset="-79"/>
            </a:rPr>
            <a:t>ז׳ הכנסות מתרומה/נכסים נטו בהגבלה - </a:t>
          </a:r>
          <a:r>
            <a:rPr lang="en-US">
              <a:latin typeface="David" panose="020E0502060401010101" pitchFamily="34" charset="-79"/>
              <a:cs typeface="David" panose="020E0502060401010101" pitchFamily="34" charset="-79"/>
            </a:rPr>
            <a:t>PN</a:t>
          </a:r>
        </a:p>
        <a:p>
          <a:pPr algn="r" rtl="1"/>
          <a:endParaRPr lang="he-IL">
            <a:latin typeface="David" panose="020E0502060401010101" pitchFamily="34" charset="-79"/>
            <a:cs typeface="David" panose="020E0502060401010101" pitchFamily="34" charset="-79"/>
          </a:endParaRPr>
        </a:p>
        <a:p>
          <a:pPr algn="r" rtl="1"/>
          <a:r>
            <a:rPr lang="he-IL" u="sng">
              <a:latin typeface="David" panose="020E0502060401010101" pitchFamily="34" charset="-79"/>
              <a:cs typeface="David" panose="020E0502060401010101" pitchFamily="34" charset="-79"/>
            </a:rPr>
            <a:t>ב. פקודת יומן - לתיעוד שינוי בהתחייבות כתוצאה מחלוף הזמן יוכר בהוצאות מימון:</a:t>
          </a:r>
          <a:r>
            <a:rPr lang="he-IL" u="sng" baseline="0">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ח׳ הוצאות מימון</a:t>
          </a:r>
        </a:p>
        <a:p>
          <a:pPr algn="r" rtl="1"/>
          <a:r>
            <a:rPr lang="he-IL">
              <a:latin typeface="David" panose="020E0502060401010101" pitchFamily="34" charset="-79"/>
              <a:cs typeface="David" panose="020E0502060401010101" pitchFamily="34" charset="-79"/>
            </a:rPr>
            <a:t>ז׳ אנונה לשלם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ג. ההתחייבות בגין האנונה תימדד מחדש בתאריך הדוח בהתאם להנחות האקטואריות לאותו מועד. </a:t>
          </a:r>
          <a:r>
            <a:rPr lang="he-IL" u="sng">
              <a:latin typeface="David" panose="020E0502060401010101" pitchFamily="34" charset="-79"/>
              <a:cs typeface="David" panose="020E0502060401010101" pitchFamily="34" charset="-79"/>
            </a:rPr>
            <a:t>שינוי בהתחייבות כתוצאה משינוי בהנחות אקטואריות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מכונה: התאמת אנונה</a:t>
          </a:r>
          <a:r>
            <a:rPr lang="he-IL" baseline="0">
              <a:latin typeface="David" panose="020E0502060401010101" pitchFamily="34" charset="-79"/>
              <a:cs typeface="David" panose="020E0502060401010101" pitchFamily="34" charset="-79"/>
            </a:rPr>
            <a:t> - </a:t>
          </a:r>
          <a:r>
            <a:rPr lang="he-IL">
              <a:latin typeface="David" panose="020E0502060401010101" pitchFamily="34" charset="-79"/>
              <a:cs typeface="David" panose="020E0502060401010101" pitchFamily="34" charset="-79"/>
            </a:rPr>
            <a:t>יוכר כנגד רווח בדוח על הפעילויות או כתיקון לנכסים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כך למשל אם יש ירידה בהתחייבות כתוצאה מהנחות אקטואריות נרשום בתאריך הדוח: </a:t>
          </a:r>
        </a:p>
        <a:p>
          <a:pPr algn="r" rtl="1"/>
          <a:r>
            <a:rPr lang="he-IL">
              <a:latin typeface="David" panose="020E0502060401010101" pitchFamily="34" charset="-79"/>
              <a:cs typeface="David" panose="020E0502060401010101" pitchFamily="34" charset="-79"/>
            </a:rPr>
            <a:t>ח׳ אנונה לשלם</a:t>
          </a:r>
        </a:p>
        <a:p>
          <a:pPr algn="r" rtl="1"/>
          <a:r>
            <a:rPr lang="he-IL">
              <a:latin typeface="David" panose="020E0502060401010101" pitchFamily="34" charset="-79"/>
              <a:cs typeface="David" panose="020E0502060401010101" pitchFamily="34" charset="-79"/>
            </a:rPr>
            <a:t>ז׳ רווח מהתאמת אנונה או נכסים נטו בהגבלה.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פקודה זו תירשם גם במקרה של פטירת התורם.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1</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ציפורה 300,000 ש״ח לעמותה. </a:t>
          </a:r>
        </a:p>
        <a:p>
          <a:pPr algn="r" rtl="1"/>
          <a:r>
            <a:rPr lang="he-IL">
              <a:latin typeface="David" panose="020E0502060401010101" pitchFamily="34" charset="-79"/>
              <a:cs typeface="David" panose="020E0502060401010101" pitchFamily="34" charset="-79"/>
            </a:rPr>
            <a:t>בהתאם להסכם עם העמותה, העמותה תשלם לגברת ציפורה 10,000 ש״ח בסוף כל שנה עד פטירתה. </a:t>
          </a:r>
        </a:p>
        <a:p>
          <a:pPr algn="r" rtl="1"/>
          <a:r>
            <a:rPr lang="he-IL">
              <a:latin typeface="David" panose="020E0502060401010101" pitchFamily="34" charset="-79"/>
              <a:cs typeface="David" panose="020E0502060401010101" pitchFamily="34" charset="-79"/>
            </a:rPr>
            <a:t>העמותה תשתמש ביתרה שתיוותר לחלוקת מלגות.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ביום 31.12.2022 שיעור ההיוון 8% ויתרת חייה מוערכת ב- 22.5 שנים מאותו יום.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a:t>
          </a:r>
        </a:p>
        <a:p>
          <a:pPr algn="r" rtl="1"/>
          <a:r>
            <a:rPr lang="he-IL">
              <a:latin typeface="David" panose="020E0502060401010101" pitchFamily="34" charset="-79"/>
              <a:cs typeface="David" panose="020E0502060401010101" pitchFamily="34" charset="-79"/>
            </a:rPr>
            <a:t>פקודות יומן לשנת 2022 </a:t>
          </a:r>
        </a:p>
        <a:p>
          <a:pPr algn="r" rtl="1"/>
          <a:r>
            <a:rPr lang="he-IL">
              <a:latin typeface="David" panose="020E0502060401010101" pitchFamily="34" charset="-79"/>
              <a:cs typeface="David" panose="020E0502060401010101" pitchFamily="34" charset="-79"/>
            </a:rPr>
            <a:t>- תרומת נכסים קבועים בתנאי אנונה במועד קבלת התרומה. </a:t>
          </a:r>
        </a:p>
        <a:p>
          <a:pPr algn="r" rtl="1"/>
          <a:r>
            <a:rPr lang="he-IL">
              <a:latin typeface="David" panose="020E0502060401010101" pitchFamily="34" charset="-79"/>
              <a:cs typeface="David" panose="020E0502060401010101" pitchFamily="34" charset="-79"/>
            </a:rPr>
            <a:t>- ההפרש בין השווי ההוגן של הרכוש הקבוע לבין ההתחייבות בגין האנונה </a:t>
          </a:r>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135015</xdr:colOff>
      <xdr:row>69</xdr:row>
      <xdr:rowOff>63922</xdr:rowOff>
    </xdr:from>
    <xdr:to>
      <xdr:col>8</xdr:col>
      <xdr:colOff>126577</xdr:colOff>
      <xdr:row>80</xdr:row>
      <xdr:rowOff>111125</xdr:rowOff>
    </xdr:to>
    <xdr:sp macro="" textlink="">
      <xdr:nvSpPr>
        <xdr:cNvPr id="3" name="TextBox 2">
          <a:extLst>
            <a:ext uri="{FF2B5EF4-FFF2-40B4-BE49-F238E27FC236}">
              <a16:creationId xmlns:a16="http://schemas.microsoft.com/office/drawing/2014/main" id="{AECC7DF9-0E0F-7308-C61A-949E96B3C58A}"/>
            </a:ext>
          </a:extLst>
        </xdr:cNvPr>
        <xdr:cNvSpPr txBox="1"/>
      </xdr:nvSpPr>
      <xdr:spPr>
        <a:xfrm>
          <a:off x="13518261423" y="14084722"/>
          <a:ext cx="6595562" cy="22824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תרומת נכסים קבועים בתנאי אנונה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במועד קבלת התרומה, ההפרש בין השווי ההוגן של הרכוש הקבוע לבין ההתחייבות בגין האנונה מטופל כתרומת רכוש קבוע, כלומר מוכר כהכנסה או כזקיפה לנכסים נטו שקיימת לגביהם הגבלה. </a:t>
          </a:r>
        </a:p>
        <a:p>
          <a:pPr algn="r" rtl="1"/>
          <a:r>
            <a:rPr lang="he-IL">
              <a:latin typeface="David" panose="020E0502060401010101" pitchFamily="34" charset="-79"/>
              <a:cs typeface="David" panose="020E0502060401010101" pitchFamily="34" charset="-79"/>
            </a:rPr>
            <a:t>כלומר, הטיפול דומה לרכישת רכוש קבוע כאשר המלכ"ר משלם תמורה נמוכה מהשווי ההוגן. </a:t>
          </a:r>
          <a:endParaRPr lang="en-US" b="1" u="sng">
            <a:latin typeface="David" panose="020E0502060401010101" pitchFamily="34" charset="-79"/>
            <a:cs typeface="David" panose="020E0502060401010101" pitchFamily="34" charset="-79"/>
          </a:endParaRPr>
        </a:p>
        <a:p>
          <a:pPr algn="r" rtl="1"/>
          <a:endParaRPr lang="en-US" b="1" u="sng">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a:t>
          </a:r>
          <a:r>
            <a:rPr lang="en-US" b="1" u="sng">
              <a:latin typeface="David" panose="020E0502060401010101" pitchFamily="34" charset="-79"/>
              <a:cs typeface="David" panose="020E0502060401010101" pitchFamily="34" charset="-79"/>
            </a:rPr>
            <a:t>2</a:t>
          </a:r>
          <a:endParaRPr lang="he-IL"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ביום 1.1.2022 תרמה גברת שפרה לעמותה מכונית ששוויה ההוגן 300,000 ש״ח. </a:t>
          </a:r>
        </a:p>
        <a:p>
          <a:pPr algn="r" rtl="1"/>
          <a:r>
            <a:rPr lang="he-IL">
              <a:latin typeface="David" panose="020E0502060401010101" pitchFamily="34" charset="-79"/>
              <a:cs typeface="David" panose="020E0502060401010101" pitchFamily="34" charset="-79"/>
            </a:rPr>
            <a:t>אורך החיים השימושיים של המכונית הינו 15 שנים. </a:t>
          </a:r>
        </a:p>
        <a:p>
          <a:pPr algn="r" rtl="1"/>
          <a:r>
            <a:rPr lang="he-IL">
              <a:latin typeface="David" panose="020E0502060401010101" pitchFamily="34" charset="-79"/>
              <a:cs typeface="David" panose="020E0502060401010101" pitchFamily="34" charset="-79"/>
            </a:rPr>
            <a:t>בהתאם להסכם עם העמותה, העמותה תשלם לגברת שפרה 10,000 ש״ח בסוף כל שנה עד פטירתה. </a:t>
          </a:r>
        </a:p>
        <a:p>
          <a:pPr algn="r" rtl="1"/>
          <a:r>
            <a:rPr lang="he-IL">
              <a:latin typeface="David" panose="020E0502060401010101" pitchFamily="34" charset="-79"/>
              <a:cs typeface="David" panose="020E0502060401010101" pitchFamily="34" charset="-79"/>
            </a:rPr>
            <a:t>העמותה רשאית להשתמש ברכב כרצונה. </a:t>
          </a:r>
        </a:p>
        <a:p>
          <a:pPr algn="r" rtl="1"/>
          <a:r>
            <a:rPr lang="he-IL">
              <a:latin typeface="David" panose="020E0502060401010101" pitchFamily="34" charset="-79"/>
              <a:cs typeface="David" panose="020E0502060401010101" pitchFamily="34" charset="-79"/>
            </a:rPr>
            <a:t>באותו מועד שיעור ההיוון 10% ואקטואר העריך שתוחלת יתרת חיי התורמת הינה 20 שנה. </a:t>
          </a:r>
        </a:p>
        <a:p>
          <a:pPr algn="r" rtl="1"/>
          <a:r>
            <a:rPr lang="he-IL">
              <a:latin typeface="David" panose="020E0502060401010101" pitchFamily="34" charset="-79"/>
              <a:cs typeface="David" panose="020E0502060401010101" pitchFamily="34" charset="-79"/>
            </a:rPr>
            <a:t>בתאריך 31.12.2022 (אחרי התשלום) נפטרה גברת שפרה. </a:t>
          </a:r>
        </a:p>
        <a:p>
          <a:pPr algn="r" rtl="1"/>
          <a:r>
            <a:rPr lang="he-IL" b="1">
              <a:solidFill>
                <a:srgbClr val="FF0000"/>
              </a:solidFill>
              <a:latin typeface="David" panose="020E0502060401010101" pitchFamily="34" charset="-79"/>
              <a:cs typeface="David" panose="020E0502060401010101" pitchFamily="34" charset="-79"/>
            </a:rPr>
            <a:t>הניחו שהחברה דואגת לפצל בין נכסים נטו לא מוגבלים שלא יועדו, לנכסים</a:t>
          </a:r>
          <a:r>
            <a:rPr lang="he-IL" b="1" baseline="0">
              <a:solidFill>
                <a:srgbClr val="FF0000"/>
              </a:solidFill>
              <a:latin typeface="David" panose="020E0502060401010101" pitchFamily="34" charset="-79"/>
              <a:cs typeface="David" panose="020E0502060401010101" pitchFamily="34" charset="-79"/>
            </a:rPr>
            <a:t> נטו לא מוגבלים ששימשו לרכוש קבוע.</a:t>
          </a:r>
          <a:endParaRPr lang="he-IL" b="1">
            <a:solidFill>
              <a:srgbClr val="FF0000"/>
            </a:solidFill>
            <a:latin typeface="David" panose="020E0502060401010101" pitchFamily="34" charset="-79"/>
            <a:cs typeface="David" panose="020E0502060401010101" pitchFamily="34" charset="-79"/>
          </a:endParaRP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נדרש – פקודות יומן לשנת .2022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127</xdr:row>
      <xdr:rowOff>139700</xdr:rowOff>
    </xdr:from>
    <xdr:to>
      <xdr:col>7</xdr:col>
      <xdr:colOff>673246</xdr:colOff>
      <xdr:row>150</xdr:row>
      <xdr:rowOff>105285</xdr:rowOff>
    </xdr:to>
    <xdr:sp macro="" textlink="">
      <xdr:nvSpPr>
        <xdr:cNvPr id="4" name="TextBox 3">
          <a:extLst>
            <a:ext uri="{FF2B5EF4-FFF2-40B4-BE49-F238E27FC236}">
              <a16:creationId xmlns:a16="http://schemas.microsoft.com/office/drawing/2014/main" id="{ED72771A-50E1-D7B9-0A45-669035B21E85}"/>
            </a:ext>
          </a:extLst>
        </xdr:cNvPr>
        <xdr:cNvSpPr txBox="1"/>
      </xdr:nvSpPr>
      <xdr:spPr>
        <a:xfrm>
          <a:off x="13523928542" y="25026436"/>
          <a:ext cx="6454049" cy="46573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עסקאות החלפה </a:t>
          </a:r>
        </a:p>
        <a:p>
          <a:pPr algn="r" rtl="1"/>
          <a:r>
            <a:rPr lang="he-IL">
              <a:latin typeface="David" panose="020E0502060401010101" pitchFamily="34" charset="-79"/>
              <a:cs typeface="David" panose="020E0502060401010101" pitchFamily="34" charset="-79"/>
            </a:rPr>
            <a:t>עסקת החלפה היא עסקה שבה כל צד מקבל ומקנה ערך שווה בקירוב. </a:t>
          </a:r>
        </a:p>
        <a:p>
          <a:pPr algn="r" rtl="1"/>
          <a:r>
            <a:rPr lang="he-IL">
              <a:latin typeface="David" panose="020E0502060401010101" pitchFamily="34" charset="-79"/>
              <a:cs typeface="David" panose="020E0502060401010101" pitchFamily="34" charset="-79"/>
            </a:rPr>
            <a:t>לעומת זאת, העברה חד צדדית היא עסקה שבה לישות מתהווה התחייבות או שהישות מעבירה נכס לישות אחרת (או מקבלת נכס או ביטול של התחייבות) ללא קבלת (או מתן) ערך בתמורה באופן ישיר. </a:t>
          </a:r>
        </a:p>
        <a:p>
          <a:pPr algn="r" rtl="1"/>
          <a:r>
            <a:rPr lang="he-IL">
              <a:latin typeface="David" panose="020E0502060401010101" pitchFamily="34" charset="-79"/>
              <a:cs typeface="David" panose="020E0502060401010101" pitchFamily="34" charset="-79"/>
            </a:rPr>
            <a:t>העברות חד צדדיות מוכרות כתרומות, כמוסבר לעיל.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בעסקת החלפה שאינה העברה חד צדדית המלכ״ר צריך להכיר בהכנסות כמקובל בחברה עסקית.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לדוגמה, אוניברסיטת מחקר גדולה, עם מרכז לחקר הסרטן היא מלכ"ר. </a:t>
          </a:r>
        </a:p>
        <a:p>
          <a:pPr algn="r" rtl="1"/>
          <a:r>
            <a:rPr lang="he-IL">
              <a:latin typeface="David" panose="020E0502060401010101" pitchFamily="34" charset="-79"/>
              <a:cs typeface="David" panose="020E0502060401010101" pitchFamily="34" charset="-79"/>
            </a:rPr>
            <a:t>האוניברסיטה מבצעת מחקרים על מנת לגלות שיטות אפקטיביות יותר לטיפול בסרטן ומקבלת תרומות לתמוך במאמציה. האוניברסיטה קיבלה משאבים מחברת תרופות על מנת לממן את העלויות של ניסוי קליני של תרופה ניסיונית לסרטן שהחברה פיתחה. </a:t>
          </a:r>
        </a:p>
        <a:p>
          <a:pPr algn="r" rtl="1"/>
          <a:r>
            <a:rPr lang="he-IL">
              <a:latin typeface="David" panose="020E0502060401010101" pitchFamily="34" charset="-79"/>
              <a:cs typeface="David" panose="020E0502060401010101" pitchFamily="34" charset="-79"/>
            </a:rPr>
            <a:t>חברת התרופות קובעת את פרוטוקול הניסוי, כולל את מספר המשתתפים הנדרש, את המינונים שיינתנו ואת תכיפות ומהות בדיקות המעקב. </a:t>
          </a:r>
        </a:p>
        <a:p>
          <a:pPr algn="r" rtl="1"/>
          <a:r>
            <a:rPr lang="he-IL">
              <a:latin typeface="David" panose="020E0502060401010101" pitchFamily="34" charset="-79"/>
              <a:cs typeface="David" panose="020E0502060401010101" pitchFamily="34" charset="-79"/>
            </a:rPr>
            <a:t>חברת התרופות דורשת דוח מפורט של תוצאות הניסוי תוך חודשיים מסיום הניסוי. </a:t>
          </a:r>
        </a:p>
        <a:p>
          <a:pPr algn="r" rtl="1"/>
          <a:r>
            <a:rPr lang="he-IL">
              <a:latin typeface="David" panose="020E0502060401010101" pitchFamily="34" charset="-79"/>
              <a:cs typeface="David" panose="020E0502060401010101" pitchFamily="34" charset="-79"/>
            </a:rPr>
            <a:t>בנוסף, הבעלות על הזכויות לתוצאות הניסוי היא של חברת התרופות.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מאחר שלתוצאות הניסוי הקליני יש ערך מסחרי מסוים עבור חברת התרופות, חברת התרופות מקבלת ערך שווה בקירוב כספק משאבים.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לפיכך, קבלת המשאבים אינה תרומה שהתקבלה על ידי האוניברסיטה.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מסים</a:t>
          </a:r>
          <a:r>
            <a:rPr lang="he-IL">
              <a:latin typeface="David" panose="020E0502060401010101" pitchFamily="34" charset="-79"/>
              <a:cs typeface="David" panose="020E0502060401010101" pitchFamily="34" charset="-79"/>
            </a:rPr>
            <a:t> </a:t>
          </a:r>
        </a:p>
        <a:p>
          <a:pPr algn="r" rtl="1"/>
          <a:r>
            <a:rPr lang="he-IL">
              <a:latin typeface="David" panose="020E0502060401010101" pitchFamily="34" charset="-79"/>
              <a:cs typeface="David" panose="020E0502060401010101" pitchFamily="34" charset="-79"/>
            </a:rPr>
            <a:t>העיקרון הכללי הוא שמאחר וההכנסות הרגילות של המלכ״ר אינן חייבות במסים, מסים בגין הכנסות או הוצאות ייזקפו לפריט עצמו. </a:t>
          </a:r>
        </a:p>
        <a:p>
          <a:pPr algn="r" rtl="1"/>
          <a:r>
            <a:rPr lang="he-IL">
              <a:latin typeface="David" panose="020E0502060401010101" pitchFamily="34" charset="-79"/>
              <a:cs typeface="David" panose="020E0502060401010101" pitchFamily="34" charset="-79"/>
            </a:rPr>
            <a:t>לדוגמה: </a:t>
          </a:r>
        </a:p>
        <a:p>
          <a:pPr algn="r" rtl="1"/>
          <a:r>
            <a:rPr lang="he-IL">
              <a:latin typeface="David" panose="020E0502060401010101" pitchFamily="34" charset="-79"/>
              <a:cs typeface="David" panose="020E0502060401010101" pitchFamily="34" charset="-79"/>
            </a:rPr>
            <a:t>א. מס שכר המוטל לפי חוק מס ערך מוסף ומס מעסיקים ייכללו במסגרת הוצאות השכר . </a:t>
          </a:r>
        </a:p>
        <a:p>
          <a:pPr algn="r" rtl="1"/>
          <a:r>
            <a:rPr lang="he-IL">
              <a:latin typeface="David" panose="020E0502060401010101" pitchFamily="34" charset="-79"/>
              <a:cs typeface="David" panose="020E0502060401010101" pitchFamily="34" charset="-79"/>
            </a:rPr>
            <a:t>ב. מס ערך מוסף ששולם בגין תשומות ושאינו ניתן להחזר ומסים בגין הוצאות מסוימות ("הוצאות עודפות")</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ייכללו בסעיפי ההוצאות, או הנכסים, בגינם שולם המס. </a:t>
          </a:r>
        </a:p>
        <a:p>
          <a:pPr algn="r" rtl="1"/>
          <a:r>
            <a:rPr lang="he-IL">
              <a:latin typeface="David" panose="020E0502060401010101" pitchFamily="34" charset="-79"/>
              <a:cs typeface="David" panose="020E0502060401010101" pitchFamily="34" charset="-79"/>
            </a:rPr>
            <a:t>ג. מסים המתייחסים לסכומים המוצגים כתוספות לנכסים נטו שקיימת לגביהם הגבלה, יוצגו כהפחתה מסכומים אלה, ויועברו לדוח על הפעילויות במקביל להעברתן של אותן תוספות במועד שישוחררו מההגבלות שהוטלו עליהן .</a:t>
          </a:r>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0</xdr:colOff>
      <xdr:row>186</xdr:row>
      <xdr:rowOff>28457</xdr:rowOff>
    </xdr:from>
    <xdr:to>
      <xdr:col>7</xdr:col>
      <xdr:colOff>622300</xdr:colOff>
      <xdr:row>202</xdr:row>
      <xdr:rowOff>71094</xdr:rowOff>
    </xdr:to>
    <xdr:sp macro="" textlink="">
      <xdr:nvSpPr>
        <xdr:cNvPr id="6" name="TextBox 5">
          <a:extLst>
            <a:ext uri="{FF2B5EF4-FFF2-40B4-BE49-F238E27FC236}">
              <a16:creationId xmlns:a16="http://schemas.microsoft.com/office/drawing/2014/main" id="{667FDD6F-BCCC-C9BD-9221-A22B12197C26}"/>
            </a:ext>
          </a:extLst>
        </xdr:cNvPr>
        <xdr:cNvSpPr txBox="1"/>
      </xdr:nvSpPr>
      <xdr:spPr>
        <a:xfrm>
          <a:off x="13494775791" y="36877846"/>
          <a:ext cx="6390621" cy="3300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latin typeface="David" panose="020E0502060401010101" pitchFamily="34" charset="-79"/>
              <a:cs typeface="David" panose="020E0502060401010101" pitchFamily="34" charset="-79"/>
            </a:rPr>
            <a:t>ב. </a:t>
          </a:r>
          <a:r>
            <a:rPr lang="he-IL" b="1">
              <a:latin typeface="David" panose="020E0502060401010101" pitchFamily="34" charset="-79"/>
              <a:cs typeface="David" panose="020E0502060401010101" pitchFamily="34" charset="-79"/>
            </a:rPr>
            <a:t>יעוד סכומים </a:t>
          </a:r>
          <a:r>
            <a:rPr lang="he-IL">
              <a:latin typeface="David" panose="020E0502060401010101" pitchFamily="34" charset="-79"/>
              <a:cs typeface="David" panose="020E0502060401010101" pitchFamily="34" charset="-79"/>
            </a:rPr>
            <a:t>– כאשר הנהלת המלכ״ר מחליטה לייעד סכומים למטרה מסוימת והמלכ״ר עורך הפרדה בין הנכסים נטו שלא קיימת לגביהם הגבלה יש להציג בדוח על השינויים בנכסים נטו את ההעברה בין קבוצות הנכסים נטו.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פקודת היומן בעת היעוד: </a:t>
          </a:r>
        </a:p>
        <a:p>
          <a:pPr algn="r" rtl="1"/>
          <a:r>
            <a:rPr lang="he-IL">
              <a:latin typeface="David" panose="020E0502060401010101" pitchFamily="34" charset="-79"/>
              <a:cs typeface="David" panose="020E0502060401010101" pitchFamily="34" charset="-79"/>
            </a:rPr>
            <a:t>ח׳ נכסים נטו ללא הגבלה שלא יועדו ע״י הנהלת המלכ״ר</a:t>
          </a:r>
        </a:p>
        <a:p>
          <a:pPr algn="r" rtl="1"/>
          <a:r>
            <a:rPr lang="he-IL">
              <a:latin typeface="David" panose="020E0502060401010101" pitchFamily="34" charset="-79"/>
              <a:cs typeface="David" panose="020E0502060401010101" pitchFamily="34" charset="-79"/>
            </a:rPr>
            <a:t>ז׳ נכסים נטו ללא הגבלה שיועדו.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כאשר המלכ״ר מוציא את הסכומים שיועדו מציגים בדוח על השינויים בנכסים נטו מציגים בדוח על השינויים בנכסים נטו פקודה הפוכה. </a:t>
          </a:r>
        </a:p>
        <a:p>
          <a:pPr algn="r" rtl="1"/>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ג. שמירה על ערך ריאלי - </a:t>
          </a:r>
          <a:r>
            <a:rPr lang="he-IL">
              <a:latin typeface="David" panose="020E0502060401010101" pitchFamily="34" charset="-79"/>
              <a:cs typeface="David" panose="020E0502060401010101" pitchFamily="34" charset="-79"/>
            </a:rPr>
            <a:t>לעיתים מלכ״ר מתחייב לשמור על ערך ריאלי של תרומה מוגבלת שהתקבלה (עם ריבית או בלי). הכנסות מימון שהמלכ״ר השיג כדי לעמוד במחויבותו ייזקפו לנכסים נטו בהגבלה. </a:t>
          </a:r>
        </a:p>
        <a:p>
          <a:pPr algn="r" rtl="1"/>
          <a:r>
            <a:rPr lang="he-IL">
              <a:latin typeface="David" panose="020E0502060401010101" pitchFamily="34" charset="-79"/>
              <a:cs typeface="David" panose="020E0502060401010101" pitchFamily="34" charset="-79"/>
            </a:rPr>
            <a:t>במידה והמלכ״ר לא הצליח להשיג את התשואה הנדרשת הוא יכיר בהוצאות מימון בדוח על הפעילויות . </a:t>
          </a:r>
        </a:p>
        <a:p>
          <a:pPr algn="r" rtl="1"/>
          <a:endParaRPr lang="he-IL">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 4</a:t>
          </a:r>
        </a:p>
        <a:p>
          <a:pPr algn="r" rtl="1"/>
          <a:r>
            <a:rPr lang="he-IL">
              <a:latin typeface="David" panose="020E0502060401010101" pitchFamily="34" charset="-79"/>
              <a:cs typeface="David" panose="020E0502060401010101" pitchFamily="34" charset="-79"/>
            </a:rPr>
            <a:t> בתאריך 1.1.2022 עמותה קיבלה תרומה בסך 150,000 ש״ח. </a:t>
          </a:r>
        </a:p>
        <a:p>
          <a:pPr algn="r" rtl="1"/>
          <a:r>
            <a:rPr lang="he-IL">
              <a:latin typeface="David" panose="020E0502060401010101" pitchFamily="34" charset="-79"/>
              <a:cs typeface="David" panose="020E0502060401010101" pitchFamily="34" charset="-79"/>
            </a:rPr>
            <a:t>בהתאם להתניות התורם, המלכ״ר רשאי להשתמש רק בפירות התרומה לחלוקת מלגות. </a:t>
          </a:r>
        </a:p>
        <a:p>
          <a:pPr algn="r" rtl="1"/>
          <a:r>
            <a:rPr lang="he-IL">
              <a:latin typeface="David" panose="020E0502060401010101" pitchFamily="34" charset="-79"/>
              <a:cs typeface="David" panose="020E0502060401010101" pitchFamily="34" charset="-79"/>
            </a:rPr>
            <a:t>כמו כן, המלכ״ר התחייב לשמור על הערך הריאלי של קרן התרומה. </a:t>
          </a:r>
        </a:p>
        <a:p>
          <a:pPr algn="r" rtl="1"/>
          <a:r>
            <a:rPr lang="he-IL">
              <a:latin typeface="David" panose="020E0502060401010101" pitchFamily="34" charset="-79"/>
              <a:cs typeface="David" panose="020E0502060401010101" pitchFamily="34" charset="-79"/>
            </a:rPr>
            <a:t>המלכ״ר השקיע באותו מועד בפיקדון הנושא ריבית בשיעור 3% המתקבלת בסוף כל שנה. </a:t>
          </a:r>
        </a:p>
        <a:p>
          <a:pPr algn="r" rtl="1"/>
          <a:r>
            <a:rPr lang="he-IL">
              <a:latin typeface="David" panose="020E0502060401010101" pitchFamily="34" charset="-79"/>
              <a:cs typeface="David" panose="020E0502060401010101" pitchFamily="34" charset="-79"/>
            </a:rPr>
            <a:t>שיעור עליית המדד בשנת 2022 2% </a:t>
          </a:r>
        </a:p>
        <a:p>
          <a:pPr algn="r" rtl="1"/>
          <a:r>
            <a:rPr lang="he-IL">
              <a:latin typeface="David" panose="020E0502060401010101" pitchFamily="34" charset="-79"/>
              <a:cs typeface="David" panose="020E0502060401010101" pitchFamily="34" charset="-79"/>
            </a:rPr>
            <a:t>נדרש </a:t>
          </a:r>
        </a:p>
        <a:p>
          <a:pPr algn="r" rtl="1"/>
          <a:r>
            <a:rPr lang="he-IL">
              <a:latin typeface="David" panose="020E0502060401010101" pitchFamily="34" charset="-79"/>
              <a:cs typeface="David" panose="020E0502060401010101" pitchFamily="34" charset="-79"/>
            </a:rPr>
            <a:t>א. פקודות יומן לשנת 2022 </a:t>
          </a:r>
        </a:p>
        <a:p>
          <a:pPr algn="r" rtl="1"/>
          <a:r>
            <a:rPr lang="he-IL">
              <a:latin typeface="David" panose="020E0502060401010101" pitchFamily="34" charset="-79"/>
              <a:cs typeface="David" panose="020E0502060401010101" pitchFamily="34" charset="-79"/>
            </a:rPr>
            <a:t>ב. כיצד הייתה משתנה התשובה אילו שיעור עליית המדד בשנת 2022 הינו 4.5%.</a:t>
          </a:r>
        </a:p>
      </xdr:txBody>
    </xdr:sp>
    <xdr:clientData/>
  </xdr:twoCellAnchor>
  <xdr:twoCellAnchor>
    <xdr:from>
      <xdr:col>0</xdr:col>
      <xdr:colOff>0</xdr:colOff>
      <xdr:row>247</xdr:row>
      <xdr:rowOff>122798</xdr:rowOff>
    </xdr:from>
    <xdr:to>
      <xdr:col>7</xdr:col>
      <xdr:colOff>775572</xdr:colOff>
      <xdr:row>253</xdr:row>
      <xdr:rowOff>19388</xdr:rowOff>
    </xdr:to>
    <xdr:sp macro="" textlink="">
      <xdr:nvSpPr>
        <xdr:cNvPr id="7" name="TextBox 6">
          <a:extLst>
            <a:ext uri="{FF2B5EF4-FFF2-40B4-BE49-F238E27FC236}">
              <a16:creationId xmlns:a16="http://schemas.microsoft.com/office/drawing/2014/main" id="{3EA54C85-61E7-4B13-A968-4D97201949BA}"/>
            </a:ext>
          </a:extLst>
        </xdr:cNvPr>
        <xdr:cNvSpPr txBox="1"/>
      </xdr:nvSpPr>
      <xdr:spPr>
        <a:xfrm>
          <a:off x="13494622519" y="49391042"/>
          <a:ext cx="6543893" cy="11181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a:latin typeface="David" panose="020E0502060401010101" pitchFamily="34" charset="-79"/>
              <a:cs typeface="David" panose="020E0502060401010101" pitchFamily="34" charset="-79"/>
            </a:rPr>
            <a:t>ד.</a:t>
          </a:r>
          <a:r>
            <a:rPr lang="he-IL">
              <a:latin typeface="David" panose="020E0502060401010101" pitchFamily="34" charset="-79"/>
              <a:cs typeface="David" panose="020E0502060401010101" pitchFamily="34" charset="-79"/>
            </a:rPr>
            <a:t> </a:t>
          </a:r>
          <a:r>
            <a:rPr lang="he-IL" b="1">
              <a:latin typeface="David" panose="020E0502060401010101" pitchFamily="34" charset="-79"/>
              <a:cs typeface="David" panose="020E0502060401010101" pitchFamily="34" charset="-79"/>
            </a:rPr>
            <a:t>תקורה</a:t>
          </a:r>
          <a:r>
            <a:rPr lang="he-IL">
              <a:latin typeface="David" panose="020E0502060401010101" pitchFamily="34" charset="-79"/>
              <a:cs typeface="David" panose="020E0502060401010101" pitchFamily="34" charset="-79"/>
            </a:rPr>
            <a:t> - נוהג מקובל במלכ"רים הוא לכלול בהסכמים עם נותני הקצבות או עם תורמים התניה על פיה חלק מסכום התרומה או ההקצבה</a:t>
          </a:r>
          <a:r>
            <a:rPr lang="he-IL" baseline="0">
              <a:latin typeface="David" panose="020E0502060401010101" pitchFamily="34" charset="-79"/>
              <a:cs typeface="David" panose="020E0502060401010101" pitchFamily="34" charset="-79"/>
            </a:rPr>
            <a:t> ישרת מימון של תקורות (עלויות עקיפות). </a:t>
          </a:r>
          <a:endParaRPr lang="he-IL">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לרוב מדובר בתרומה או הקצבה שקיימת לגביהן הגבלה -</a:t>
          </a:r>
          <a:r>
            <a:rPr lang="he-IL" baseline="0">
              <a:latin typeface="David" panose="020E0502060401010101" pitchFamily="34" charset="-79"/>
              <a:cs typeface="David" panose="020E0502060401010101" pitchFamily="34" charset="-79"/>
            </a:rPr>
            <a:t> </a:t>
          </a:r>
          <a:r>
            <a:rPr lang="he-IL">
              <a:latin typeface="David" panose="020E0502060401010101" pitchFamily="34" charset="-79"/>
              <a:cs typeface="David" panose="020E0502060401010101" pitchFamily="34" charset="-79"/>
            </a:rPr>
            <a:t>ישמש לכיסוי ההוצאות הכלליות או העקיפות של המלכ"ר ("תקורה״). במועד ההכרה בהוצאות התקורה, יוכרו הסכומים המיועדים לכיסוי הוצאות אלה הכלולים בנכסים נטו שקיימת לגביהם הגבלה כהכנסות בדוח על הפעילויות. </a:t>
          </a:r>
          <a:endParaRPr lang="en-US" sz="1100">
            <a:latin typeface="David" panose="020E0502060401010101" pitchFamily="34" charset="-79"/>
            <a:cs typeface="David" panose="020E0502060401010101" pitchFamily="34" charset="-79"/>
          </a:endParaRPr>
        </a:p>
      </xdr:txBody>
    </xdr:sp>
    <xdr:clientData/>
  </xdr:twoCellAnchor>
  <xdr:twoCellAnchor>
    <xdr:from>
      <xdr:col>4</xdr:col>
      <xdr:colOff>533006</xdr:colOff>
      <xdr:row>94</xdr:row>
      <xdr:rowOff>72383</xdr:rowOff>
    </xdr:from>
    <xdr:to>
      <xdr:col>5</xdr:col>
      <xdr:colOff>345467</xdr:colOff>
      <xdr:row>94</xdr:row>
      <xdr:rowOff>108575</xdr:rowOff>
    </xdr:to>
    <xdr:cxnSp macro="">
      <xdr:nvCxnSpPr>
        <xdr:cNvPr id="9" name="Straight Arrow Connector 8">
          <a:extLst>
            <a:ext uri="{FF2B5EF4-FFF2-40B4-BE49-F238E27FC236}">
              <a16:creationId xmlns:a16="http://schemas.microsoft.com/office/drawing/2014/main" id="{0FB1B81E-A5E1-3C28-D932-F183E768A73A}"/>
            </a:ext>
          </a:extLst>
        </xdr:cNvPr>
        <xdr:cNvCxnSpPr/>
      </xdr:nvCxnSpPr>
      <xdr:spPr>
        <a:xfrm flipH="1" flipV="1">
          <a:off x="13525907979" y="19247409"/>
          <a:ext cx="638290" cy="36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556037</xdr:colOff>
      <xdr:row>94</xdr:row>
      <xdr:rowOff>108575</xdr:rowOff>
    </xdr:from>
    <xdr:to>
      <xdr:col>5</xdr:col>
      <xdr:colOff>404690</xdr:colOff>
      <xdr:row>96</xdr:row>
      <xdr:rowOff>98705</xdr:rowOff>
    </xdr:to>
    <xdr:cxnSp macro="">
      <xdr:nvCxnSpPr>
        <xdr:cNvPr id="10" name="Straight Arrow Connector 9">
          <a:extLst>
            <a:ext uri="{FF2B5EF4-FFF2-40B4-BE49-F238E27FC236}">
              <a16:creationId xmlns:a16="http://schemas.microsoft.com/office/drawing/2014/main" id="{2479164E-8BCE-84BF-B055-48050F052DA4}"/>
            </a:ext>
          </a:extLst>
        </xdr:cNvPr>
        <xdr:cNvCxnSpPr/>
      </xdr:nvCxnSpPr>
      <xdr:spPr>
        <a:xfrm flipH="1">
          <a:off x="13525848756" y="19283601"/>
          <a:ext cx="674482" cy="3981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276878</xdr:colOff>
      <xdr:row>122</xdr:row>
      <xdr:rowOff>88833</xdr:rowOff>
    </xdr:from>
    <xdr:to>
      <xdr:col>7</xdr:col>
      <xdr:colOff>726729</xdr:colOff>
      <xdr:row>127</xdr:row>
      <xdr:rowOff>75737</xdr:rowOff>
    </xdr:to>
    <xdr:pic>
      <xdr:nvPicPr>
        <xdr:cNvPr id="15" name="Picture 14" descr="The End of “RIP” – Man of Depravity">
          <a:extLst>
            <a:ext uri="{FF2B5EF4-FFF2-40B4-BE49-F238E27FC236}">
              <a16:creationId xmlns:a16="http://schemas.microsoft.com/office/drawing/2014/main" id="{7C405197-A70F-BCFE-449F-620917E01F5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875059" y="23955621"/>
          <a:ext cx="1275680" cy="1006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8505</xdr:colOff>
      <xdr:row>124</xdr:row>
      <xdr:rowOff>363</xdr:rowOff>
    </xdr:from>
    <xdr:to>
      <xdr:col>6</xdr:col>
      <xdr:colOff>213575</xdr:colOff>
      <xdr:row>125</xdr:row>
      <xdr:rowOff>29900</xdr:rowOff>
    </xdr:to>
    <xdr:sp macro="" textlink="">
      <xdr:nvSpPr>
        <xdr:cNvPr id="17" name="Freeform 16">
          <a:extLst>
            <a:ext uri="{FF2B5EF4-FFF2-40B4-BE49-F238E27FC236}">
              <a16:creationId xmlns:a16="http://schemas.microsoft.com/office/drawing/2014/main" id="{5C4601F1-AC74-8AC7-7767-11A7DFC48A35}"/>
            </a:ext>
          </a:extLst>
        </xdr:cNvPr>
        <xdr:cNvSpPr/>
      </xdr:nvSpPr>
      <xdr:spPr>
        <a:xfrm>
          <a:off x="13534473355" y="25285884"/>
          <a:ext cx="205070" cy="233453"/>
        </a:xfrm>
        <a:custGeom>
          <a:avLst/>
          <a:gdLst>
            <a:gd name="connsiteX0" fmla="*/ 85544 w 205070"/>
            <a:gd name="connsiteY0" fmla="*/ 55933 h 233601"/>
            <a:gd name="connsiteX1" fmla="*/ 92125 w 205070"/>
            <a:gd name="connsiteY1" fmla="*/ 9871 h 233601"/>
            <a:gd name="connsiteX2" fmla="*/ 98705 w 205070"/>
            <a:gd name="connsiteY2" fmla="*/ 3290 h 233601"/>
            <a:gd name="connsiteX3" fmla="*/ 108575 w 205070"/>
            <a:gd name="connsiteY3" fmla="*/ 0 h 233601"/>
            <a:gd name="connsiteX4" fmla="*/ 131606 w 205070"/>
            <a:gd name="connsiteY4" fmla="*/ 3290 h 233601"/>
            <a:gd name="connsiteX5" fmla="*/ 138187 w 205070"/>
            <a:gd name="connsiteY5" fmla="*/ 13161 h 233601"/>
            <a:gd name="connsiteX6" fmla="*/ 144767 w 205070"/>
            <a:gd name="connsiteY6" fmla="*/ 32902 h 233601"/>
            <a:gd name="connsiteX7" fmla="*/ 148057 w 205070"/>
            <a:gd name="connsiteY7" fmla="*/ 65803 h 233601"/>
            <a:gd name="connsiteX8" fmla="*/ 194119 w 205070"/>
            <a:gd name="connsiteY8" fmla="*/ 75674 h 233601"/>
            <a:gd name="connsiteX9" fmla="*/ 203990 w 205070"/>
            <a:gd name="connsiteY9" fmla="*/ 92125 h 233601"/>
            <a:gd name="connsiteX10" fmla="*/ 194119 w 205070"/>
            <a:gd name="connsiteY10" fmla="*/ 141477 h 233601"/>
            <a:gd name="connsiteX11" fmla="*/ 184249 w 205070"/>
            <a:gd name="connsiteY11" fmla="*/ 144767 h 233601"/>
            <a:gd name="connsiteX12" fmla="*/ 164508 w 205070"/>
            <a:gd name="connsiteY12" fmla="*/ 141477 h 233601"/>
            <a:gd name="connsiteX13" fmla="*/ 154637 w 205070"/>
            <a:gd name="connsiteY13" fmla="*/ 138187 h 233601"/>
            <a:gd name="connsiteX14" fmla="*/ 141477 w 205070"/>
            <a:gd name="connsiteY14" fmla="*/ 134897 h 233601"/>
            <a:gd name="connsiteX15" fmla="*/ 131606 w 205070"/>
            <a:gd name="connsiteY15" fmla="*/ 128316 h 233601"/>
            <a:gd name="connsiteX16" fmla="*/ 141477 w 205070"/>
            <a:gd name="connsiteY16" fmla="*/ 125026 h 233601"/>
            <a:gd name="connsiteX17" fmla="*/ 161218 w 205070"/>
            <a:gd name="connsiteY17" fmla="*/ 131606 h 233601"/>
            <a:gd name="connsiteX18" fmla="*/ 171088 w 205070"/>
            <a:gd name="connsiteY18" fmla="*/ 138187 h 233601"/>
            <a:gd name="connsiteX19" fmla="*/ 187539 w 205070"/>
            <a:gd name="connsiteY19" fmla="*/ 157928 h 233601"/>
            <a:gd name="connsiteX20" fmla="*/ 200700 w 205070"/>
            <a:gd name="connsiteY20" fmla="*/ 177669 h 233601"/>
            <a:gd name="connsiteX21" fmla="*/ 197410 w 205070"/>
            <a:gd name="connsiteY21" fmla="*/ 213860 h 233601"/>
            <a:gd name="connsiteX22" fmla="*/ 118446 w 205070"/>
            <a:gd name="connsiteY22" fmla="*/ 213860 h 233601"/>
            <a:gd name="connsiteX23" fmla="*/ 115156 w 205070"/>
            <a:gd name="connsiteY23" fmla="*/ 167798 h 233601"/>
            <a:gd name="connsiteX24" fmla="*/ 111865 w 205070"/>
            <a:gd name="connsiteY24" fmla="*/ 187539 h 233601"/>
            <a:gd name="connsiteX25" fmla="*/ 101995 w 205070"/>
            <a:gd name="connsiteY25" fmla="*/ 194119 h 233601"/>
            <a:gd name="connsiteX26" fmla="*/ 85544 w 205070"/>
            <a:gd name="connsiteY26" fmla="*/ 203990 h 233601"/>
            <a:gd name="connsiteX27" fmla="*/ 65803 w 205070"/>
            <a:gd name="connsiteY27" fmla="*/ 217151 h 233601"/>
            <a:gd name="connsiteX28" fmla="*/ 42772 w 205070"/>
            <a:gd name="connsiteY28" fmla="*/ 223731 h 233601"/>
            <a:gd name="connsiteX29" fmla="*/ 23031 w 205070"/>
            <a:gd name="connsiteY29" fmla="*/ 233601 h 233601"/>
            <a:gd name="connsiteX30" fmla="*/ 3290 w 205070"/>
            <a:gd name="connsiteY30" fmla="*/ 230311 h 233601"/>
            <a:gd name="connsiteX31" fmla="*/ 0 w 205070"/>
            <a:gd name="connsiteY31" fmla="*/ 217151 h 233601"/>
            <a:gd name="connsiteX32" fmla="*/ 9871 w 205070"/>
            <a:gd name="connsiteY32" fmla="*/ 194119 h 233601"/>
            <a:gd name="connsiteX33" fmla="*/ 16451 w 205070"/>
            <a:gd name="connsiteY33" fmla="*/ 174378 h 233601"/>
            <a:gd name="connsiteX34" fmla="*/ 46062 w 205070"/>
            <a:gd name="connsiteY34" fmla="*/ 151347 h 233601"/>
            <a:gd name="connsiteX35" fmla="*/ 55933 w 205070"/>
            <a:gd name="connsiteY35" fmla="*/ 148057 h 233601"/>
            <a:gd name="connsiteX36" fmla="*/ 26321 w 205070"/>
            <a:gd name="connsiteY36" fmla="*/ 141477 h 233601"/>
            <a:gd name="connsiteX37" fmla="*/ 6580 w 205070"/>
            <a:gd name="connsiteY37" fmla="*/ 134897 h 233601"/>
            <a:gd name="connsiteX38" fmla="*/ 6580 w 205070"/>
            <a:gd name="connsiteY38" fmla="*/ 78964 h 233601"/>
            <a:gd name="connsiteX39" fmla="*/ 32902 w 205070"/>
            <a:gd name="connsiteY39" fmla="*/ 65803 h 233601"/>
            <a:gd name="connsiteX40" fmla="*/ 42772 w 205070"/>
            <a:gd name="connsiteY40" fmla="*/ 62513 h 233601"/>
            <a:gd name="connsiteX41" fmla="*/ 69093 w 205070"/>
            <a:gd name="connsiteY41" fmla="*/ 65803 h 233601"/>
            <a:gd name="connsiteX42" fmla="*/ 75674 w 205070"/>
            <a:gd name="connsiteY42" fmla="*/ 72384 h 233601"/>
            <a:gd name="connsiteX43" fmla="*/ 85544 w 205070"/>
            <a:gd name="connsiteY43" fmla="*/ 55933 h 23360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Lst>
          <a:rect l="l" t="t" r="r" b="b"/>
          <a:pathLst>
            <a:path w="205070" h="233601">
              <a:moveTo>
                <a:pt x="85544" y="55933"/>
              </a:moveTo>
              <a:cubicBezTo>
                <a:pt x="88286" y="45514"/>
                <a:pt x="86019" y="20047"/>
                <a:pt x="92125" y="9871"/>
              </a:cubicBezTo>
              <a:cubicBezTo>
                <a:pt x="93721" y="7211"/>
                <a:pt x="96045" y="4886"/>
                <a:pt x="98705" y="3290"/>
              </a:cubicBezTo>
              <a:cubicBezTo>
                <a:pt x="101679" y="1506"/>
                <a:pt x="105285" y="1097"/>
                <a:pt x="108575" y="0"/>
              </a:cubicBezTo>
              <a:cubicBezTo>
                <a:pt x="116252" y="1097"/>
                <a:pt x="124519" y="140"/>
                <a:pt x="131606" y="3290"/>
              </a:cubicBezTo>
              <a:cubicBezTo>
                <a:pt x="135220" y="4896"/>
                <a:pt x="136581" y="9547"/>
                <a:pt x="138187" y="13161"/>
              </a:cubicBezTo>
              <a:cubicBezTo>
                <a:pt x="141004" y="19499"/>
                <a:pt x="144767" y="32902"/>
                <a:pt x="144767" y="32902"/>
              </a:cubicBezTo>
              <a:cubicBezTo>
                <a:pt x="141219" y="75475"/>
                <a:pt x="132139" y="81723"/>
                <a:pt x="148057" y="65803"/>
              </a:cubicBezTo>
              <a:cubicBezTo>
                <a:pt x="157431" y="66655"/>
                <a:pt x="184209" y="63287"/>
                <a:pt x="194119" y="75674"/>
              </a:cubicBezTo>
              <a:cubicBezTo>
                <a:pt x="228312" y="118413"/>
                <a:pt x="168194" y="56324"/>
                <a:pt x="203990" y="92125"/>
              </a:cubicBezTo>
              <a:cubicBezTo>
                <a:pt x="202943" y="105731"/>
                <a:pt x="210274" y="131785"/>
                <a:pt x="194119" y="141477"/>
              </a:cubicBezTo>
              <a:cubicBezTo>
                <a:pt x="191145" y="143261"/>
                <a:pt x="187539" y="143670"/>
                <a:pt x="184249" y="144767"/>
              </a:cubicBezTo>
              <a:cubicBezTo>
                <a:pt x="177669" y="143670"/>
                <a:pt x="171020" y="142924"/>
                <a:pt x="164508" y="141477"/>
              </a:cubicBezTo>
              <a:cubicBezTo>
                <a:pt x="161122" y="140725"/>
                <a:pt x="157972" y="139140"/>
                <a:pt x="154637" y="138187"/>
              </a:cubicBezTo>
              <a:cubicBezTo>
                <a:pt x="150289" y="136945"/>
                <a:pt x="145864" y="135994"/>
                <a:pt x="141477" y="134897"/>
              </a:cubicBezTo>
              <a:cubicBezTo>
                <a:pt x="138187" y="132703"/>
                <a:pt x="131606" y="132271"/>
                <a:pt x="131606" y="128316"/>
              </a:cubicBezTo>
              <a:cubicBezTo>
                <a:pt x="131606" y="124848"/>
                <a:pt x="138030" y="124643"/>
                <a:pt x="141477" y="125026"/>
              </a:cubicBezTo>
              <a:cubicBezTo>
                <a:pt x="148371" y="125792"/>
                <a:pt x="161218" y="131606"/>
                <a:pt x="161218" y="131606"/>
              </a:cubicBezTo>
              <a:cubicBezTo>
                <a:pt x="164508" y="133800"/>
                <a:pt x="168000" y="135717"/>
                <a:pt x="171088" y="138187"/>
              </a:cubicBezTo>
              <a:cubicBezTo>
                <a:pt x="177217" y="143090"/>
                <a:pt x="183461" y="152103"/>
                <a:pt x="187539" y="157928"/>
              </a:cubicBezTo>
              <a:cubicBezTo>
                <a:pt x="192074" y="164407"/>
                <a:pt x="200700" y="177669"/>
                <a:pt x="200700" y="177669"/>
              </a:cubicBezTo>
              <a:cubicBezTo>
                <a:pt x="199603" y="189733"/>
                <a:pt x="207927" y="207850"/>
                <a:pt x="197410" y="213860"/>
              </a:cubicBezTo>
              <a:cubicBezTo>
                <a:pt x="171723" y="228538"/>
                <a:pt x="143723" y="220181"/>
                <a:pt x="118446" y="213860"/>
              </a:cubicBezTo>
              <a:cubicBezTo>
                <a:pt x="105812" y="175961"/>
                <a:pt x="115156" y="213455"/>
                <a:pt x="115156" y="167798"/>
              </a:cubicBezTo>
              <a:cubicBezTo>
                <a:pt x="115156" y="161127"/>
                <a:pt x="114849" y="181572"/>
                <a:pt x="111865" y="187539"/>
              </a:cubicBezTo>
              <a:cubicBezTo>
                <a:pt x="110097" y="191076"/>
                <a:pt x="105083" y="191649"/>
                <a:pt x="101995" y="194119"/>
              </a:cubicBezTo>
              <a:cubicBezTo>
                <a:pt x="89091" y="204443"/>
                <a:pt x="102687" y="198276"/>
                <a:pt x="85544" y="203990"/>
              </a:cubicBezTo>
              <a:cubicBezTo>
                <a:pt x="78964" y="208377"/>
                <a:pt x="73476" y="215233"/>
                <a:pt x="65803" y="217151"/>
              </a:cubicBezTo>
              <a:cubicBezTo>
                <a:pt x="49278" y="221282"/>
                <a:pt x="56933" y="219011"/>
                <a:pt x="42772" y="223731"/>
              </a:cubicBezTo>
              <a:cubicBezTo>
                <a:pt x="37781" y="227059"/>
                <a:pt x="29843" y="233601"/>
                <a:pt x="23031" y="233601"/>
              </a:cubicBezTo>
              <a:cubicBezTo>
                <a:pt x="16360" y="233601"/>
                <a:pt x="9870" y="231408"/>
                <a:pt x="3290" y="230311"/>
              </a:cubicBezTo>
              <a:cubicBezTo>
                <a:pt x="2193" y="225924"/>
                <a:pt x="0" y="221673"/>
                <a:pt x="0" y="217151"/>
              </a:cubicBezTo>
              <a:cubicBezTo>
                <a:pt x="0" y="206527"/>
                <a:pt x="4497" y="202179"/>
                <a:pt x="9871" y="194119"/>
              </a:cubicBezTo>
              <a:cubicBezTo>
                <a:pt x="12064" y="187539"/>
                <a:pt x="11546" y="179283"/>
                <a:pt x="16451" y="174378"/>
              </a:cubicBezTo>
              <a:cubicBezTo>
                <a:pt x="24967" y="165862"/>
                <a:pt x="34257" y="155282"/>
                <a:pt x="46062" y="151347"/>
              </a:cubicBezTo>
              <a:lnTo>
                <a:pt x="55933" y="148057"/>
              </a:lnTo>
              <a:cubicBezTo>
                <a:pt x="27689" y="138643"/>
                <a:pt x="72650" y="153059"/>
                <a:pt x="26321" y="141477"/>
              </a:cubicBezTo>
              <a:cubicBezTo>
                <a:pt x="19592" y="139795"/>
                <a:pt x="6580" y="134897"/>
                <a:pt x="6580" y="134897"/>
              </a:cubicBezTo>
              <a:cubicBezTo>
                <a:pt x="-748" y="112910"/>
                <a:pt x="-636" y="117447"/>
                <a:pt x="6580" y="78964"/>
              </a:cubicBezTo>
              <a:cubicBezTo>
                <a:pt x="8111" y="70798"/>
                <a:pt x="32478" y="65944"/>
                <a:pt x="32902" y="65803"/>
              </a:cubicBezTo>
              <a:lnTo>
                <a:pt x="42772" y="62513"/>
              </a:lnTo>
              <a:cubicBezTo>
                <a:pt x="51546" y="63610"/>
                <a:pt x="60624" y="63262"/>
                <a:pt x="69093" y="65803"/>
              </a:cubicBezTo>
              <a:cubicBezTo>
                <a:pt x="72064" y="66694"/>
                <a:pt x="75674" y="69282"/>
                <a:pt x="75674" y="72384"/>
              </a:cubicBezTo>
              <a:cubicBezTo>
                <a:pt x="75674" y="74578"/>
                <a:pt x="82802" y="66352"/>
                <a:pt x="85544" y="55933"/>
              </a:cubicBezTo>
              <a:close/>
            </a:path>
          </a:pathLst>
        </a:cu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75099</xdr:colOff>
      <xdr:row>124</xdr:row>
      <xdr:rowOff>75386</xdr:rowOff>
    </xdr:from>
    <xdr:to>
      <xdr:col>6</xdr:col>
      <xdr:colOff>144193</xdr:colOff>
      <xdr:row>124</xdr:row>
      <xdr:rowOff>164220</xdr:rowOff>
    </xdr:to>
    <xdr:sp macro="" textlink="">
      <xdr:nvSpPr>
        <xdr:cNvPr id="16" name="Oval 15">
          <a:extLst>
            <a:ext uri="{FF2B5EF4-FFF2-40B4-BE49-F238E27FC236}">
              <a16:creationId xmlns:a16="http://schemas.microsoft.com/office/drawing/2014/main" id="{F950A291-1D93-E25C-CDB3-F49873856940}"/>
            </a:ext>
          </a:extLst>
        </xdr:cNvPr>
        <xdr:cNvSpPr/>
      </xdr:nvSpPr>
      <xdr:spPr>
        <a:xfrm>
          <a:off x="13534542737" y="25360907"/>
          <a:ext cx="69094" cy="888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776477</xdr:colOff>
      <xdr:row>124</xdr:row>
      <xdr:rowOff>190829</xdr:rowOff>
    </xdr:from>
    <xdr:to>
      <xdr:col>6</xdr:col>
      <xdr:colOff>111866</xdr:colOff>
      <xdr:row>126</xdr:row>
      <xdr:rowOff>75674</xdr:rowOff>
    </xdr:to>
    <xdr:sp macro="" textlink="">
      <xdr:nvSpPr>
        <xdr:cNvPr id="18" name="Freeform 17">
          <a:extLst>
            <a:ext uri="{FF2B5EF4-FFF2-40B4-BE49-F238E27FC236}">
              <a16:creationId xmlns:a16="http://schemas.microsoft.com/office/drawing/2014/main" id="{F0C66BB0-06D2-9577-B3DC-B44F32558BD4}"/>
            </a:ext>
          </a:extLst>
        </xdr:cNvPr>
        <xdr:cNvSpPr/>
      </xdr:nvSpPr>
      <xdr:spPr>
        <a:xfrm>
          <a:off x="13525315751" y="24465596"/>
          <a:ext cx="161218" cy="292824"/>
        </a:xfrm>
        <a:custGeom>
          <a:avLst/>
          <a:gdLst>
            <a:gd name="connsiteX0" fmla="*/ 0 w 161218"/>
            <a:gd name="connsiteY0" fmla="*/ 0 h 292824"/>
            <a:gd name="connsiteX1" fmla="*/ 3290 w 161218"/>
            <a:gd name="connsiteY1" fmla="*/ 190829 h 292824"/>
            <a:gd name="connsiteX2" fmla="*/ 6581 w 161218"/>
            <a:gd name="connsiteY2" fmla="*/ 263212 h 292824"/>
            <a:gd name="connsiteX3" fmla="*/ 9871 w 161218"/>
            <a:gd name="connsiteY3" fmla="*/ 236891 h 292824"/>
            <a:gd name="connsiteX4" fmla="*/ 23031 w 161218"/>
            <a:gd name="connsiteY4" fmla="*/ 207280 h 292824"/>
            <a:gd name="connsiteX5" fmla="*/ 29612 w 161218"/>
            <a:gd name="connsiteY5" fmla="*/ 187539 h 292824"/>
            <a:gd name="connsiteX6" fmla="*/ 52643 w 161218"/>
            <a:gd name="connsiteY6" fmla="*/ 157927 h 292824"/>
            <a:gd name="connsiteX7" fmla="*/ 75674 w 161218"/>
            <a:gd name="connsiteY7" fmla="*/ 138186 h 292824"/>
            <a:gd name="connsiteX8" fmla="*/ 101995 w 161218"/>
            <a:gd name="connsiteY8" fmla="*/ 121736 h 292824"/>
            <a:gd name="connsiteX9" fmla="*/ 148057 w 161218"/>
            <a:gd name="connsiteY9" fmla="*/ 138186 h 292824"/>
            <a:gd name="connsiteX10" fmla="*/ 161218 w 161218"/>
            <a:gd name="connsiteY10" fmla="*/ 164508 h 292824"/>
            <a:gd name="connsiteX11" fmla="*/ 144767 w 161218"/>
            <a:gd name="connsiteY11" fmla="*/ 197409 h 292824"/>
            <a:gd name="connsiteX12" fmla="*/ 121736 w 161218"/>
            <a:gd name="connsiteY12" fmla="*/ 220440 h 292824"/>
            <a:gd name="connsiteX13" fmla="*/ 85544 w 161218"/>
            <a:gd name="connsiteY13" fmla="*/ 269793 h 292824"/>
            <a:gd name="connsiteX14" fmla="*/ 75674 w 161218"/>
            <a:gd name="connsiteY14" fmla="*/ 279663 h 292824"/>
            <a:gd name="connsiteX15" fmla="*/ 59223 w 161218"/>
            <a:gd name="connsiteY15" fmla="*/ 292824 h 292824"/>
            <a:gd name="connsiteX16" fmla="*/ 26322 w 161218"/>
            <a:gd name="connsiteY16" fmla="*/ 286243 h 292824"/>
            <a:gd name="connsiteX17" fmla="*/ 19741 w 161218"/>
            <a:gd name="connsiteY17" fmla="*/ 279663 h 292824"/>
            <a:gd name="connsiteX18" fmla="*/ 16451 w 161218"/>
            <a:gd name="connsiteY18" fmla="*/ 269793 h 292824"/>
            <a:gd name="connsiteX19" fmla="*/ 19741 w 161218"/>
            <a:gd name="connsiteY19" fmla="*/ 259922 h 292824"/>
            <a:gd name="connsiteX20" fmla="*/ 39482 w 161218"/>
            <a:gd name="connsiteY20" fmla="*/ 250052 h 292824"/>
            <a:gd name="connsiteX21" fmla="*/ 62513 w 161218"/>
            <a:gd name="connsiteY21" fmla="*/ 230311 h 292824"/>
            <a:gd name="connsiteX22" fmla="*/ 92125 w 161218"/>
            <a:gd name="connsiteY22" fmla="*/ 213860 h 292824"/>
            <a:gd name="connsiteX23" fmla="*/ 111866 w 161218"/>
            <a:gd name="connsiteY23" fmla="*/ 200699 h 292824"/>
            <a:gd name="connsiteX24" fmla="*/ 121736 w 161218"/>
            <a:gd name="connsiteY24" fmla="*/ 190829 h 292824"/>
            <a:gd name="connsiteX25" fmla="*/ 131607 w 161218"/>
            <a:gd name="connsiteY25" fmla="*/ 184249 h 292824"/>
            <a:gd name="connsiteX26" fmla="*/ 144767 w 161218"/>
            <a:gd name="connsiteY26" fmla="*/ 167798 h 292824"/>
            <a:gd name="connsiteX27" fmla="*/ 131607 w 161218"/>
            <a:gd name="connsiteY27" fmla="*/ 164508 h 2928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Lst>
          <a:rect l="l" t="t" r="r" b="b"/>
          <a:pathLst>
            <a:path w="161218" h="292824">
              <a:moveTo>
                <a:pt x="0" y="0"/>
              </a:moveTo>
              <a:cubicBezTo>
                <a:pt x="1097" y="63610"/>
                <a:pt x="1700" y="127230"/>
                <a:pt x="3290" y="190829"/>
              </a:cubicBezTo>
              <a:cubicBezTo>
                <a:pt x="3894" y="214974"/>
                <a:pt x="3165" y="239302"/>
                <a:pt x="6581" y="263212"/>
              </a:cubicBezTo>
              <a:cubicBezTo>
                <a:pt x="7832" y="271965"/>
                <a:pt x="8018" y="245537"/>
                <a:pt x="9871" y="236891"/>
              </a:cubicBezTo>
              <a:cubicBezTo>
                <a:pt x="17977" y="199061"/>
                <a:pt x="12446" y="231095"/>
                <a:pt x="23031" y="207280"/>
              </a:cubicBezTo>
              <a:cubicBezTo>
                <a:pt x="25848" y="200942"/>
                <a:pt x="25354" y="193014"/>
                <a:pt x="29612" y="187539"/>
              </a:cubicBezTo>
              <a:cubicBezTo>
                <a:pt x="37289" y="177668"/>
                <a:pt x="42238" y="164863"/>
                <a:pt x="52643" y="157927"/>
              </a:cubicBezTo>
              <a:cubicBezTo>
                <a:pt x="98185" y="127566"/>
                <a:pt x="11846" y="186057"/>
                <a:pt x="75674" y="138186"/>
              </a:cubicBezTo>
              <a:cubicBezTo>
                <a:pt x="92758" y="125373"/>
                <a:pt x="83929" y="130768"/>
                <a:pt x="101995" y="121736"/>
              </a:cubicBezTo>
              <a:cubicBezTo>
                <a:pt x="122672" y="125495"/>
                <a:pt x="137141" y="121032"/>
                <a:pt x="148057" y="138186"/>
              </a:cubicBezTo>
              <a:cubicBezTo>
                <a:pt x="153324" y="146462"/>
                <a:pt x="161218" y="164508"/>
                <a:pt x="161218" y="164508"/>
              </a:cubicBezTo>
              <a:cubicBezTo>
                <a:pt x="157503" y="179368"/>
                <a:pt x="157825" y="184351"/>
                <a:pt x="144767" y="197409"/>
              </a:cubicBezTo>
              <a:cubicBezTo>
                <a:pt x="137090" y="205086"/>
                <a:pt x="127322" y="211130"/>
                <a:pt x="121736" y="220440"/>
              </a:cubicBezTo>
              <a:cubicBezTo>
                <a:pt x="109815" y="240309"/>
                <a:pt x="104495" y="250842"/>
                <a:pt x="85544" y="269793"/>
              </a:cubicBezTo>
              <a:cubicBezTo>
                <a:pt x="82254" y="273083"/>
                <a:pt x="78653" y="276089"/>
                <a:pt x="75674" y="279663"/>
              </a:cubicBezTo>
              <a:cubicBezTo>
                <a:pt x="64226" y="293401"/>
                <a:pt x="75428" y="287423"/>
                <a:pt x="59223" y="292824"/>
              </a:cubicBezTo>
              <a:cubicBezTo>
                <a:pt x="56738" y="292410"/>
                <a:pt x="31234" y="288699"/>
                <a:pt x="26322" y="286243"/>
              </a:cubicBezTo>
              <a:cubicBezTo>
                <a:pt x="23547" y="284856"/>
                <a:pt x="21935" y="281856"/>
                <a:pt x="19741" y="279663"/>
              </a:cubicBezTo>
              <a:cubicBezTo>
                <a:pt x="18644" y="276373"/>
                <a:pt x="16451" y="273261"/>
                <a:pt x="16451" y="269793"/>
              </a:cubicBezTo>
              <a:cubicBezTo>
                <a:pt x="16451" y="266325"/>
                <a:pt x="17574" y="262630"/>
                <a:pt x="19741" y="259922"/>
              </a:cubicBezTo>
              <a:cubicBezTo>
                <a:pt x="24379" y="254125"/>
                <a:pt x="32981" y="252219"/>
                <a:pt x="39482" y="250052"/>
              </a:cubicBezTo>
              <a:cubicBezTo>
                <a:pt x="50198" y="239336"/>
                <a:pt x="50821" y="236992"/>
                <a:pt x="62513" y="230311"/>
              </a:cubicBezTo>
              <a:cubicBezTo>
                <a:pt x="93282" y="212728"/>
                <a:pt x="55968" y="236868"/>
                <a:pt x="92125" y="213860"/>
              </a:cubicBezTo>
              <a:cubicBezTo>
                <a:pt x="98797" y="209614"/>
                <a:pt x="106274" y="206291"/>
                <a:pt x="111866" y="200699"/>
              </a:cubicBezTo>
              <a:cubicBezTo>
                <a:pt x="115156" y="197409"/>
                <a:pt x="118162" y="193808"/>
                <a:pt x="121736" y="190829"/>
              </a:cubicBezTo>
              <a:cubicBezTo>
                <a:pt x="124774" y="188298"/>
                <a:pt x="128519" y="186719"/>
                <a:pt x="131607" y="184249"/>
              </a:cubicBezTo>
              <a:cubicBezTo>
                <a:pt x="138302" y="178893"/>
                <a:pt x="139883" y="175124"/>
                <a:pt x="144767" y="167798"/>
              </a:cubicBezTo>
              <a:cubicBezTo>
                <a:pt x="133857" y="164161"/>
                <a:pt x="138365" y="164508"/>
                <a:pt x="131607" y="164508"/>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59222</xdr:colOff>
      <xdr:row>150</xdr:row>
      <xdr:rowOff>180960</xdr:rowOff>
    </xdr:from>
    <xdr:to>
      <xdr:col>7</xdr:col>
      <xdr:colOff>667901</xdr:colOff>
      <xdr:row>160</xdr:row>
      <xdr:rowOff>82255</xdr:rowOff>
    </xdr:to>
    <xdr:sp macro="" textlink="">
      <xdr:nvSpPr>
        <xdr:cNvPr id="19" name="TextBox 18">
          <a:extLst>
            <a:ext uri="{FF2B5EF4-FFF2-40B4-BE49-F238E27FC236}">
              <a16:creationId xmlns:a16="http://schemas.microsoft.com/office/drawing/2014/main" id="{F299E10B-A9EC-D784-2E17-E453A690068C}"/>
            </a:ext>
          </a:extLst>
        </xdr:cNvPr>
        <xdr:cNvSpPr txBox="1"/>
      </xdr:nvSpPr>
      <xdr:spPr>
        <a:xfrm>
          <a:off x="13523933887" y="29759457"/>
          <a:ext cx="6389482" cy="19411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latin typeface="David" panose="020E0502060401010101" pitchFamily="34" charset="-79"/>
              <a:cs typeface="David" panose="020E0502060401010101" pitchFamily="34" charset="-79"/>
            </a:rPr>
            <a:t>הוראות נוספות </a:t>
          </a:r>
          <a:endParaRPr lang="en-US" b="1" u="sng">
            <a:latin typeface="David" panose="020E0502060401010101" pitchFamily="34" charset="-79"/>
            <a:cs typeface="David" panose="020E0502060401010101" pitchFamily="34" charset="-79"/>
          </a:endParaRPr>
        </a:p>
        <a:p>
          <a:pPr algn="r" rtl="1"/>
          <a:r>
            <a:rPr lang="he-IL">
              <a:latin typeface="David" panose="020E0502060401010101" pitchFamily="34" charset="-79"/>
              <a:cs typeface="David" panose="020E0502060401010101" pitchFamily="34" charset="-79"/>
            </a:rPr>
            <a:t>א. </a:t>
          </a:r>
          <a:r>
            <a:rPr lang="he-IL" b="1">
              <a:latin typeface="David" panose="020E0502060401010101" pitchFamily="34" charset="-79"/>
              <a:cs typeface="David" panose="020E0502060401010101" pitchFamily="34" charset="-79"/>
            </a:rPr>
            <a:t>רווח </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הפסד</a:t>
          </a:r>
          <a:r>
            <a:rPr lang="en-US" b="1">
              <a:latin typeface="David" panose="020E0502060401010101" pitchFamily="34" charset="-79"/>
              <a:cs typeface="David" panose="020E0502060401010101" pitchFamily="34" charset="-79"/>
            </a:rPr>
            <a:t>(</a:t>
          </a:r>
          <a:r>
            <a:rPr lang="he-IL" b="1">
              <a:latin typeface="David" panose="020E0502060401010101" pitchFamily="34" charset="-79"/>
              <a:cs typeface="David" panose="020E0502060401010101" pitchFamily="34" charset="-79"/>
            </a:rPr>
            <a:t> ממימוש נכסים קבועים </a:t>
          </a:r>
          <a:r>
            <a:rPr lang="he-IL">
              <a:latin typeface="David" panose="020E0502060401010101" pitchFamily="34" charset="-79"/>
              <a:cs typeface="David" panose="020E0502060401010101" pitchFamily="34" charset="-79"/>
            </a:rPr>
            <a:t>והשקעות בחברות מוחזקות יוצג כהכנסות אחרות בדוח על הפעילויות. רווח (הפסד) ממימוש נכסים קבועים שתמורתם הוגבלה יוצג כתוספת ישירה לנכסים נטו שקיימת לגביהם הגבלה</a:t>
          </a:r>
          <a:endParaRPr lang="en-US">
            <a:latin typeface="David" panose="020E0502060401010101" pitchFamily="34" charset="-79"/>
            <a:cs typeface="David" panose="020E0502060401010101" pitchFamily="34" charset="-79"/>
          </a:endParaRPr>
        </a:p>
        <a:p>
          <a:pPr algn="r" rtl="1"/>
          <a:endParaRPr lang="en-US">
            <a:latin typeface="David" panose="020E0502060401010101" pitchFamily="34" charset="-79"/>
            <a:cs typeface="David" panose="020E0502060401010101" pitchFamily="34" charset="-79"/>
          </a:endParaRPr>
        </a:p>
        <a:p>
          <a:pPr algn="r" rtl="1"/>
          <a:r>
            <a:rPr lang="he-IL" b="1" u="sng">
              <a:latin typeface="David" panose="020E0502060401010101" pitchFamily="34" charset="-79"/>
              <a:cs typeface="David" panose="020E0502060401010101" pitchFamily="34" charset="-79"/>
            </a:rPr>
            <a:t>שאלה</a:t>
          </a:r>
          <a:r>
            <a:rPr lang="he-IL" b="1" u="sng" baseline="0">
              <a:latin typeface="David" panose="020E0502060401010101" pitchFamily="34" charset="-79"/>
              <a:cs typeface="David" panose="020E0502060401010101" pitchFamily="34" charset="-79"/>
            </a:rPr>
            <a:t> 3</a:t>
          </a:r>
        </a:p>
        <a:p>
          <a:pPr algn="r" rtl="1"/>
          <a:r>
            <a:rPr lang="he-IL">
              <a:latin typeface="David" panose="020E0502060401010101" pitchFamily="34" charset="-79"/>
              <a:cs typeface="David" panose="020E0502060401010101" pitchFamily="34" charset="-79"/>
            </a:rPr>
            <a:t>נכון לתאריך 31.12.2021 למלכ״ר ציוד שעלותו 100,000 ש״ח ועלותו המופחתת 80,000 ש״ח. </a:t>
          </a:r>
        </a:p>
        <a:p>
          <a:pPr algn="r" rtl="1"/>
          <a:r>
            <a:rPr lang="he-IL">
              <a:latin typeface="David" panose="020E0502060401010101" pitchFamily="34" charset="-79"/>
              <a:cs typeface="David" panose="020E0502060401010101" pitchFamily="34" charset="-79"/>
            </a:rPr>
            <a:t>בתאריך 1.1.2022 הציוד נמכר תמורת 110,000 ש״ח. </a:t>
          </a:r>
        </a:p>
        <a:p>
          <a:pPr algn="r" rtl="1"/>
          <a:r>
            <a:rPr lang="he-IL">
              <a:latin typeface="David" panose="020E0502060401010101" pitchFamily="34" charset="-79"/>
              <a:cs typeface="David" panose="020E0502060401010101" pitchFamily="34" charset="-79"/>
            </a:rPr>
            <a:t>המלכ״ר מפריד את הנכסים נטו ללא הגבלה. </a:t>
          </a:r>
        </a:p>
        <a:p>
          <a:pPr algn="r" rtl="1"/>
          <a:endParaRPr lang="he-IL">
            <a:latin typeface="David" panose="020E0502060401010101" pitchFamily="34" charset="-79"/>
            <a:cs typeface="David" panose="020E0502060401010101" pitchFamily="34" charset="-79"/>
          </a:endParaRPr>
        </a:p>
        <a:p>
          <a:pPr algn="r" rtl="1"/>
          <a:r>
            <a:rPr lang="he-IL" b="1">
              <a:latin typeface="David" panose="020E0502060401010101" pitchFamily="34" charset="-79"/>
              <a:cs typeface="David" panose="020E0502060401010101" pitchFamily="34" charset="-79"/>
            </a:rPr>
            <a:t>נדרש – פקודות יומן למתן ביטוי לעסקת המכירה תחת שתי הנחות בלתי תלויות: </a:t>
          </a:r>
        </a:p>
        <a:p>
          <a:pPr algn="r" rtl="1"/>
          <a:r>
            <a:rPr lang="he-IL">
              <a:latin typeface="David" panose="020E0502060401010101" pitchFamily="34" charset="-79"/>
              <a:cs typeface="David" panose="020E0502060401010101" pitchFamily="34" charset="-79"/>
            </a:rPr>
            <a:t>א. הציוד נרכש על ידי המלכ״ר ולא קיימת הגבלה בגינו </a:t>
          </a:r>
        </a:p>
        <a:p>
          <a:pPr algn="r" rtl="1"/>
          <a:r>
            <a:rPr lang="he-IL">
              <a:latin typeface="David" panose="020E0502060401010101" pitchFamily="34" charset="-79"/>
              <a:cs typeface="David" panose="020E0502060401010101" pitchFamily="34" charset="-79"/>
            </a:rPr>
            <a:t>ב. הציוד התקבל בתרומה ובהתאם להתניות התורם אם הציוד נמכר התמורה תשמש לרכישת ציוד חלופי. </a:t>
          </a:r>
        </a:p>
      </xdr:txBody>
    </xdr:sp>
    <xdr:clientData/>
  </xdr:twoCellAnchor>
  <xdr:twoCellAnchor editAs="oneCell">
    <xdr:from>
      <xdr:col>0</xdr:col>
      <xdr:colOff>25049</xdr:colOff>
      <xdr:row>268</xdr:row>
      <xdr:rowOff>189222</xdr:rowOff>
    </xdr:from>
    <xdr:to>
      <xdr:col>7</xdr:col>
      <xdr:colOff>619654</xdr:colOff>
      <xdr:row>271</xdr:row>
      <xdr:rowOff>175690</xdr:rowOff>
    </xdr:to>
    <xdr:pic>
      <xdr:nvPicPr>
        <xdr:cNvPr id="20" name="Picture 19">
          <a:extLst>
            <a:ext uri="{FF2B5EF4-FFF2-40B4-BE49-F238E27FC236}">
              <a16:creationId xmlns:a16="http://schemas.microsoft.com/office/drawing/2014/main" id="{B823DAA7-5B8F-CA8F-1863-C5C83F545EB7}"/>
            </a:ext>
          </a:extLst>
        </xdr:cNvPr>
        <xdr:cNvPicPr>
          <a:picLocks noChangeAspect="1"/>
        </xdr:cNvPicPr>
      </xdr:nvPicPr>
      <xdr:blipFill>
        <a:blip xmlns:r="http://schemas.openxmlformats.org/officeDocument/2006/relationships" r:embed="rId2"/>
        <a:stretch>
          <a:fillRect/>
        </a:stretch>
      </xdr:blipFill>
      <xdr:spPr>
        <a:xfrm>
          <a:off x="13546700318" y="53505195"/>
          <a:ext cx="6385119" cy="594008"/>
        </a:xfrm>
        <a:prstGeom prst="rect">
          <a:avLst/>
        </a:prstGeom>
      </xdr:spPr>
    </xdr:pic>
    <xdr:clientData/>
  </xdr:twoCellAnchor>
  <xdr:twoCellAnchor editAs="oneCell">
    <xdr:from>
      <xdr:col>0</xdr:col>
      <xdr:colOff>106407</xdr:colOff>
      <xdr:row>275</xdr:row>
      <xdr:rowOff>144161</xdr:rowOff>
    </xdr:from>
    <xdr:to>
      <xdr:col>7</xdr:col>
      <xdr:colOff>353541</xdr:colOff>
      <xdr:row>280</xdr:row>
      <xdr:rowOff>7680</xdr:rowOff>
    </xdr:to>
    <xdr:pic>
      <xdr:nvPicPr>
        <xdr:cNvPr id="21" name="Picture 20">
          <a:extLst>
            <a:ext uri="{FF2B5EF4-FFF2-40B4-BE49-F238E27FC236}">
              <a16:creationId xmlns:a16="http://schemas.microsoft.com/office/drawing/2014/main" id="{3FA22985-9CC6-5B68-4420-D6579986D530}"/>
            </a:ext>
          </a:extLst>
        </xdr:cNvPr>
        <xdr:cNvPicPr>
          <a:picLocks noChangeAspect="1"/>
        </xdr:cNvPicPr>
      </xdr:nvPicPr>
      <xdr:blipFill>
        <a:blip xmlns:r="http://schemas.openxmlformats.org/officeDocument/2006/relationships" r:embed="rId3"/>
        <a:stretch>
          <a:fillRect/>
        </a:stretch>
      </xdr:blipFill>
      <xdr:spPr>
        <a:xfrm>
          <a:off x="13546966431" y="54877729"/>
          <a:ext cx="6037648" cy="876087"/>
        </a:xfrm>
        <a:prstGeom prst="rect">
          <a:avLst/>
        </a:prstGeom>
      </xdr:spPr>
    </xdr:pic>
    <xdr:clientData/>
  </xdr:twoCellAnchor>
  <xdr:twoCellAnchor editAs="oneCell">
    <xdr:from>
      <xdr:col>0</xdr:col>
      <xdr:colOff>0</xdr:colOff>
      <xdr:row>289</xdr:row>
      <xdr:rowOff>202513</xdr:rowOff>
    </xdr:from>
    <xdr:to>
      <xdr:col>7</xdr:col>
      <xdr:colOff>195648</xdr:colOff>
      <xdr:row>294</xdr:row>
      <xdr:rowOff>37935</xdr:rowOff>
    </xdr:to>
    <xdr:pic>
      <xdr:nvPicPr>
        <xdr:cNvPr id="22" name="Picture 21">
          <a:extLst>
            <a:ext uri="{FF2B5EF4-FFF2-40B4-BE49-F238E27FC236}">
              <a16:creationId xmlns:a16="http://schemas.microsoft.com/office/drawing/2014/main" id="{1AEAEDCE-3013-F2A8-B9AB-8CE03316DFE7}"/>
            </a:ext>
          </a:extLst>
        </xdr:cNvPr>
        <xdr:cNvPicPr>
          <a:picLocks noChangeAspect="1"/>
        </xdr:cNvPicPr>
      </xdr:nvPicPr>
      <xdr:blipFill>
        <a:blip xmlns:r="http://schemas.openxmlformats.org/officeDocument/2006/relationships" r:embed="rId4"/>
        <a:stretch>
          <a:fillRect/>
        </a:stretch>
      </xdr:blipFill>
      <xdr:spPr>
        <a:xfrm>
          <a:off x="13547124324" y="57771270"/>
          <a:ext cx="5986162" cy="847990"/>
        </a:xfrm>
        <a:prstGeom prst="rect">
          <a:avLst/>
        </a:prstGeom>
      </xdr:spPr>
    </xdr:pic>
    <xdr:clientData/>
  </xdr:twoCellAnchor>
  <xdr:twoCellAnchor editAs="oneCell">
    <xdr:from>
      <xdr:col>0</xdr:col>
      <xdr:colOff>85810</xdr:colOff>
      <xdr:row>294</xdr:row>
      <xdr:rowOff>69034</xdr:rowOff>
    </xdr:from>
    <xdr:to>
      <xdr:col>5</xdr:col>
      <xdr:colOff>138670</xdr:colOff>
      <xdr:row>295</xdr:row>
      <xdr:rowOff>195987</xdr:rowOff>
    </xdr:to>
    <xdr:pic>
      <xdr:nvPicPr>
        <xdr:cNvPr id="23" name="Picture 22">
          <a:extLst>
            <a:ext uri="{FF2B5EF4-FFF2-40B4-BE49-F238E27FC236}">
              <a16:creationId xmlns:a16="http://schemas.microsoft.com/office/drawing/2014/main" id="{2ED99C19-F58B-C752-29CC-F483B0490C33}"/>
            </a:ext>
          </a:extLst>
        </xdr:cNvPr>
        <xdr:cNvPicPr>
          <a:picLocks noChangeAspect="1"/>
        </xdr:cNvPicPr>
      </xdr:nvPicPr>
      <xdr:blipFill>
        <a:blip xmlns:r="http://schemas.openxmlformats.org/officeDocument/2006/relationships" r:embed="rId5"/>
        <a:stretch>
          <a:fillRect/>
        </a:stretch>
      </xdr:blipFill>
      <xdr:spPr>
        <a:xfrm>
          <a:off x="13548835735" y="58650358"/>
          <a:ext cx="4188941" cy="329467"/>
        </a:xfrm>
        <a:prstGeom prst="rect">
          <a:avLst/>
        </a:prstGeom>
      </xdr:spPr>
    </xdr:pic>
    <xdr:clientData/>
  </xdr:twoCellAnchor>
  <xdr:twoCellAnchor>
    <xdr:from>
      <xdr:col>5</xdr:col>
      <xdr:colOff>41189</xdr:colOff>
      <xdr:row>300</xdr:row>
      <xdr:rowOff>37757</xdr:rowOff>
    </xdr:from>
    <xdr:to>
      <xdr:col>5</xdr:col>
      <xdr:colOff>123567</xdr:colOff>
      <xdr:row>301</xdr:row>
      <xdr:rowOff>68649</xdr:rowOff>
    </xdr:to>
    <xdr:sp macro="" textlink="">
      <xdr:nvSpPr>
        <xdr:cNvPr id="24" name="Down Arrow 23">
          <a:extLst>
            <a:ext uri="{FF2B5EF4-FFF2-40B4-BE49-F238E27FC236}">
              <a16:creationId xmlns:a16="http://schemas.microsoft.com/office/drawing/2014/main" id="{049F683A-38DC-26D0-5599-6FD4CCE5A9CE}"/>
            </a:ext>
          </a:extLst>
        </xdr:cNvPr>
        <xdr:cNvSpPr/>
      </xdr:nvSpPr>
      <xdr:spPr>
        <a:xfrm>
          <a:off x="13549678054" y="59834162"/>
          <a:ext cx="82378" cy="2334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247135</xdr:colOff>
      <xdr:row>300</xdr:row>
      <xdr:rowOff>6864</xdr:rowOff>
    </xdr:from>
    <xdr:to>
      <xdr:col>4</xdr:col>
      <xdr:colOff>336378</xdr:colOff>
      <xdr:row>302</xdr:row>
      <xdr:rowOff>151026</xdr:rowOff>
    </xdr:to>
    <xdr:sp macro="" textlink="">
      <xdr:nvSpPr>
        <xdr:cNvPr id="25" name="Down Arrow 24">
          <a:extLst>
            <a:ext uri="{FF2B5EF4-FFF2-40B4-BE49-F238E27FC236}">
              <a16:creationId xmlns:a16="http://schemas.microsoft.com/office/drawing/2014/main" id="{594F7416-7E5A-5068-0260-C8D1EC920907}"/>
            </a:ext>
          </a:extLst>
        </xdr:cNvPr>
        <xdr:cNvSpPr/>
      </xdr:nvSpPr>
      <xdr:spPr>
        <a:xfrm>
          <a:off x="13550292459" y="59803269"/>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586946</xdr:colOff>
      <xdr:row>299</xdr:row>
      <xdr:rowOff>202512</xdr:rowOff>
    </xdr:from>
    <xdr:to>
      <xdr:col>3</xdr:col>
      <xdr:colOff>676189</xdr:colOff>
      <xdr:row>302</xdr:row>
      <xdr:rowOff>144161</xdr:rowOff>
    </xdr:to>
    <xdr:sp macro="" textlink="">
      <xdr:nvSpPr>
        <xdr:cNvPr id="26" name="Down Arrow 25">
          <a:extLst>
            <a:ext uri="{FF2B5EF4-FFF2-40B4-BE49-F238E27FC236}">
              <a16:creationId xmlns:a16="http://schemas.microsoft.com/office/drawing/2014/main" id="{A0C081BF-C6EE-E1B1-E518-02FD3A1591A7}"/>
            </a:ext>
          </a:extLst>
        </xdr:cNvPr>
        <xdr:cNvSpPr/>
      </xdr:nvSpPr>
      <xdr:spPr>
        <a:xfrm rot="20373656">
          <a:off x="13550779865" y="59796404"/>
          <a:ext cx="89243" cy="5491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310</xdr:row>
      <xdr:rowOff>116702</xdr:rowOff>
    </xdr:from>
    <xdr:to>
      <xdr:col>9</xdr:col>
      <xdr:colOff>327454</xdr:colOff>
      <xdr:row>315</xdr:row>
      <xdr:rowOff>33828</xdr:rowOff>
    </xdr:to>
    <xdr:pic>
      <xdr:nvPicPr>
        <xdr:cNvPr id="27" name="Picture 26">
          <a:extLst>
            <a:ext uri="{FF2B5EF4-FFF2-40B4-BE49-F238E27FC236}">
              <a16:creationId xmlns:a16="http://schemas.microsoft.com/office/drawing/2014/main" id="{3F42BBC5-6854-35A5-0F40-F6FAF22449B6}"/>
            </a:ext>
          </a:extLst>
        </xdr:cNvPr>
        <xdr:cNvPicPr>
          <a:picLocks noChangeAspect="1"/>
        </xdr:cNvPicPr>
      </xdr:nvPicPr>
      <xdr:blipFill>
        <a:blip xmlns:r="http://schemas.openxmlformats.org/officeDocument/2006/relationships" r:embed="rId6"/>
        <a:stretch>
          <a:fillRect/>
        </a:stretch>
      </xdr:blipFill>
      <xdr:spPr>
        <a:xfrm>
          <a:off x="13545338086" y="61938243"/>
          <a:ext cx="7772400" cy="929694"/>
        </a:xfrm>
        <a:prstGeom prst="rect">
          <a:avLst/>
        </a:prstGeom>
      </xdr:spPr>
    </xdr:pic>
    <xdr:clientData/>
  </xdr:twoCellAnchor>
  <xdr:twoCellAnchor>
    <xdr:from>
      <xdr:col>4</xdr:col>
      <xdr:colOff>410882</xdr:colOff>
      <xdr:row>312</xdr:row>
      <xdr:rowOff>149412</xdr:rowOff>
    </xdr:from>
    <xdr:to>
      <xdr:col>4</xdr:col>
      <xdr:colOff>578971</xdr:colOff>
      <xdr:row>314</xdr:row>
      <xdr:rowOff>7470</xdr:rowOff>
    </xdr:to>
    <xdr:sp macro="" textlink="">
      <xdr:nvSpPr>
        <xdr:cNvPr id="5" name="Rounded Rectangle 4">
          <a:extLst>
            <a:ext uri="{FF2B5EF4-FFF2-40B4-BE49-F238E27FC236}">
              <a16:creationId xmlns:a16="http://schemas.microsoft.com/office/drawing/2014/main" id="{8C9AAE3E-1C66-ECC6-3CCA-69796DC51E5E}"/>
            </a:ext>
          </a:extLst>
        </xdr:cNvPr>
        <xdr:cNvSpPr/>
      </xdr:nvSpPr>
      <xdr:spPr>
        <a:xfrm>
          <a:off x="13521111029" y="63141412"/>
          <a:ext cx="168089" cy="2614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a:t>
          </a:r>
          <a:endParaRPr lang="en-US" sz="1100"/>
        </a:p>
      </xdr:txBody>
    </xdr:sp>
    <xdr:clientData/>
  </xdr:twoCellAnchor>
  <xdr:twoCellAnchor editAs="oneCell">
    <xdr:from>
      <xdr:col>0</xdr:col>
      <xdr:colOff>0</xdr:colOff>
      <xdr:row>338</xdr:row>
      <xdr:rowOff>0</xdr:rowOff>
    </xdr:from>
    <xdr:to>
      <xdr:col>9</xdr:col>
      <xdr:colOff>344703</xdr:colOff>
      <xdr:row>341</xdr:row>
      <xdr:rowOff>113003</xdr:rowOff>
    </xdr:to>
    <xdr:pic>
      <xdr:nvPicPr>
        <xdr:cNvPr id="8" name="Picture 7">
          <a:extLst>
            <a:ext uri="{FF2B5EF4-FFF2-40B4-BE49-F238E27FC236}">
              <a16:creationId xmlns:a16="http://schemas.microsoft.com/office/drawing/2014/main" id="{9705AC91-DD9F-49C7-CCD0-55DDC87A99CF}"/>
            </a:ext>
          </a:extLst>
        </xdr:cNvPr>
        <xdr:cNvPicPr>
          <a:picLocks noChangeAspect="1"/>
        </xdr:cNvPicPr>
      </xdr:nvPicPr>
      <xdr:blipFill>
        <a:blip xmlns:r="http://schemas.openxmlformats.org/officeDocument/2006/relationships" r:embed="rId7"/>
        <a:stretch>
          <a:fillRect/>
        </a:stretch>
      </xdr:blipFill>
      <xdr:spPr>
        <a:xfrm>
          <a:off x="13513937632" y="69108833"/>
          <a:ext cx="7772400" cy="725968"/>
        </a:xfrm>
        <a:prstGeom prst="rect">
          <a:avLst/>
        </a:prstGeom>
      </xdr:spPr>
    </xdr:pic>
    <xdr:clientData/>
  </xdr:twoCellAnchor>
  <xdr:twoCellAnchor editAs="oneCell">
    <xdr:from>
      <xdr:col>0</xdr:col>
      <xdr:colOff>0</xdr:colOff>
      <xdr:row>349</xdr:row>
      <xdr:rowOff>0</xdr:rowOff>
    </xdr:from>
    <xdr:to>
      <xdr:col>9</xdr:col>
      <xdr:colOff>352372</xdr:colOff>
      <xdr:row>352</xdr:row>
      <xdr:rowOff>125545</xdr:rowOff>
    </xdr:to>
    <xdr:pic>
      <xdr:nvPicPr>
        <xdr:cNvPr id="11" name="Picture 10">
          <a:extLst>
            <a:ext uri="{FF2B5EF4-FFF2-40B4-BE49-F238E27FC236}">
              <a16:creationId xmlns:a16="http://schemas.microsoft.com/office/drawing/2014/main" id="{69714BA2-1529-EC98-DE31-FD03614F62C0}"/>
            </a:ext>
          </a:extLst>
        </xdr:cNvPr>
        <xdr:cNvPicPr>
          <a:picLocks noChangeAspect="1"/>
        </xdr:cNvPicPr>
      </xdr:nvPicPr>
      <xdr:blipFill>
        <a:blip xmlns:r="http://schemas.openxmlformats.org/officeDocument/2006/relationships" r:embed="rId8"/>
        <a:stretch>
          <a:fillRect/>
        </a:stretch>
      </xdr:blipFill>
      <xdr:spPr>
        <a:xfrm>
          <a:off x="13499975666" y="71070884"/>
          <a:ext cx="7772400" cy="735987"/>
        </a:xfrm>
        <a:prstGeom prst="rect">
          <a:avLst/>
        </a:prstGeom>
      </xdr:spPr>
    </xdr:pic>
    <xdr:clientData/>
  </xdr:twoCellAnchor>
  <xdr:twoCellAnchor editAs="oneCell">
    <xdr:from>
      <xdr:col>0</xdr:col>
      <xdr:colOff>1</xdr:colOff>
      <xdr:row>362</xdr:row>
      <xdr:rowOff>0</xdr:rowOff>
    </xdr:from>
    <xdr:to>
      <xdr:col>5</xdr:col>
      <xdr:colOff>284171</xdr:colOff>
      <xdr:row>364</xdr:row>
      <xdr:rowOff>135048</xdr:rowOff>
    </xdr:to>
    <xdr:pic>
      <xdr:nvPicPr>
        <xdr:cNvPr id="12" name="Picture 11">
          <a:extLst>
            <a:ext uri="{FF2B5EF4-FFF2-40B4-BE49-F238E27FC236}">
              <a16:creationId xmlns:a16="http://schemas.microsoft.com/office/drawing/2014/main" id="{526D9320-076E-F195-AE96-2B23FB443A70}"/>
            </a:ext>
          </a:extLst>
        </xdr:cNvPr>
        <xdr:cNvPicPr>
          <a:picLocks noChangeAspect="1"/>
        </xdr:cNvPicPr>
      </xdr:nvPicPr>
      <xdr:blipFill>
        <a:blip xmlns:r="http://schemas.openxmlformats.org/officeDocument/2006/relationships" r:embed="rId9"/>
        <a:stretch>
          <a:fillRect/>
        </a:stretch>
      </xdr:blipFill>
      <xdr:spPr>
        <a:xfrm>
          <a:off x="13503341657" y="73716133"/>
          <a:ext cx="4406408" cy="542009"/>
        </a:xfrm>
        <a:prstGeom prst="rect">
          <a:avLst/>
        </a:prstGeom>
      </xdr:spPr>
    </xdr:pic>
    <xdr:clientData/>
  </xdr:twoCellAnchor>
  <xdr:twoCellAnchor editAs="oneCell">
    <xdr:from>
      <xdr:col>0</xdr:col>
      <xdr:colOff>0</xdr:colOff>
      <xdr:row>371</xdr:row>
      <xdr:rowOff>203480</xdr:rowOff>
    </xdr:from>
    <xdr:to>
      <xdr:col>9</xdr:col>
      <xdr:colOff>352372</xdr:colOff>
      <xdr:row>376</xdr:row>
      <xdr:rowOff>195421</xdr:rowOff>
    </xdr:to>
    <xdr:pic>
      <xdr:nvPicPr>
        <xdr:cNvPr id="13" name="Picture 12">
          <a:extLst>
            <a:ext uri="{FF2B5EF4-FFF2-40B4-BE49-F238E27FC236}">
              <a16:creationId xmlns:a16="http://schemas.microsoft.com/office/drawing/2014/main" id="{83EA175B-A7F0-3492-760E-01356D758521}"/>
            </a:ext>
          </a:extLst>
        </xdr:cNvPr>
        <xdr:cNvPicPr>
          <a:picLocks noChangeAspect="1"/>
        </xdr:cNvPicPr>
      </xdr:nvPicPr>
      <xdr:blipFill>
        <a:blip xmlns:r="http://schemas.openxmlformats.org/officeDocument/2006/relationships" r:embed="rId10"/>
        <a:stretch>
          <a:fillRect/>
        </a:stretch>
      </xdr:blipFill>
      <xdr:spPr>
        <a:xfrm>
          <a:off x="13499975666" y="75750939"/>
          <a:ext cx="7772400" cy="1009344"/>
        </a:xfrm>
        <a:prstGeom prst="rect">
          <a:avLst/>
        </a:prstGeom>
      </xdr:spPr>
    </xdr:pic>
    <xdr:clientData/>
  </xdr:twoCellAnchor>
  <xdr:twoCellAnchor>
    <xdr:from>
      <xdr:col>8</xdr:col>
      <xdr:colOff>239845</xdr:colOff>
      <xdr:row>364</xdr:row>
      <xdr:rowOff>180867</xdr:rowOff>
    </xdr:from>
    <xdr:to>
      <xdr:col>8</xdr:col>
      <xdr:colOff>349938</xdr:colOff>
      <xdr:row>366</xdr:row>
      <xdr:rowOff>11796</xdr:rowOff>
    </xdr:to>
    <xdr:sp macro="" textlink="">
      <xdr:nvSpPr>
        <xdr:cNvPr id="14" name="Up Arrow 13">
          <a:extLst>
            <a:ext uri="{FF2B5EF4-FFF2-40B4-BE49-F238E27FC236}">
              <a16:creationId xmlns:a16="http://schemas.microsoft.com/office/drawing/2014/main" id="{30B2EC69-F47C-3D81-F6C1-A5C734A47669}"/>
            </a:ext>
          </a:extLst>
        </xdr:cNvPr>
        <xdr:cNvSpPr/>
      </xdr:nvSpPr>
      <xdr:spPr>
        <a:xfrm>
          <a:off x="13521257492" y="74650836"/>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743127</xdr:colOff>
      <xdr:row>364</xdr:row>
      <xdr:rowOff>188731</xdr:rowOff>
    </xdr:from>
    <xdr:to>
      <xdr:col>7</xdr:col>
      <xdr:colOff>27524</xdr:colOff>
      <xdr:row>366</xdr:row>
      <xdr:rowOff>19660</xdr:rowOff>
    </xdr:to>
    <xdr:sp macro="" textlink="">
      <xdr:nvSpPr>
        <xdr:cNvPr id="28" name="Up Arrow 27">
          <a:extLst>
            <a:ext uri="{FF2B5EF4-FFF2-40B4-BE49-F238E27FC236}">
              <a16:creationId xmlns:a16="http://schemas.microsoft.com/office/drawing/2014/main" id="{6D36043A-9E1F-CCAA-7040-6D7E08D0056C}"/>
            </a:ext>
          </a:extLst>
        </xdr:cNvPr>
        <xdr:cNvSpPr/>
      </xdr:nvSpPr>
      <xdr:spPr>
        <a:xfrm>
          <a:off x="13522405603" y="74658700"/>
          <a:ext cx="110093" cy="23984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394</xdr:row>
      <xdr:rowOff>204458</xdr:rowOff>
    </xdr:from>
    <xdr:to>
      <xdr:col>9</xdr:col>
      <xdr:colOff>341131</xdr:colOff>
      <xdr:row>399</xdr:row>
      <xdr:rowOff>10790</xdr:rowOff>
    </xdr:to>
    <xdr:pic>
      <xdr:nvPicPr>
        <xdr:cNvPr id="29" name="Picture 28">
          <a:extLst>
            <a:ext uri="{FF2B5EF4-FFF2-40B4-BE49-F238E27FC236}">
              <a16:creationId xmlns:a16="http://schemas.microsoft.com/office/drawing/2014/main" id="{17A35AC9-AE52-12A3-91FB-5A5A2A7FCBBE}"/>
            </a:ext>
          </a:extLst>
        </xdr:cNvPr>
        <xdr:cNvPicPr>
          <a:picLocks noChangeAspect="1"/>
        </xdr:cNvPicPr>
      </xdr:nvPicPr>
      <xdr:blipFill>
        <a:blip xmlns:r="http://schemas.openxmlformats.org/officeDocument/2006/relationships" r:embed="rId11"/>
        <a:stretch>
          <a:fillRect/>
        </a:stretch>
      </xdr:blipFill>
      <xdr:spPr>
        <a:xfrm>
          <a:off x="13520440603" y="80843560"/>
          <a:ext cx="7772400" cy="828623"/>
        </a:xfrm>
        <a:prstGeom prst="rect">
          <a:avLst/>
        </a:prstGeom>
      </xdr:spPr>
    </xdr:pic>
    <xdr:clientData/>
  </xdr:twoCellAnchor>
  <xdr:twoCellAnchor>
    <xdr:from>
      <xdr:col>1</xdr:col>
      <xdr:colOff>149411</xdr:colOff>
      <xdr:row>397</xdr:row>
      <xdr:rowOff>3932</xdr:rowOff>
    </xdr:from>
    <xdr:to>
      <xdr:col>7</xdr:col>
      <xdr:colOff>522941</xdr:colOff>
      <xdr:row>398</xdr:row>
      <xdr:rowOff>153344</xdr:rowOff>
    </xdr:to>
    <xdr:sp macro="" textlink="">
      <xdr:nvSpPr>
        <xdr:cNvPr id="30" name="Rounded Rectangle 29">
          <a:extLst>
            <a:ext uri="{FF2B5EF4-FFF2-40B4-BE49-F238E27FC236}">
              <a16:creationId xmlns:a16="http://schemas.microsoft.com/office/drawing/2014/main" id="{44012569-B703-ED87-50AA-91CA7583BBDD}"/>
            </a:ext>
          </a:extLst>
        </xdr:cNvPr>
        <xdr:cNvSpPr/>
      </xdr:nvSpPr>
      <xdr:spPr>
        <a:xfrm>
          <a:off x="13521910186" y="81256409"/>
          <a:ext cx="5327709" cy="3538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באופן שבו מתאפשר</a:t>
          </a:r>
          <a:r>
            <a:rPr lang="he-IL" sz="1100" baseline="0"/>
            <a:t> ניצול / שימוש בכספים בהתפלגות אחידה על פני התקופה המוגדרת.</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0</xdr:colOff>
      <xdr:row>18</xdr:row>
      <xdr:rowOff>8882</xdr:rowOff>
    </xdr:from>
    <xdr:to>
      <xdr:col>7</xdr:col>
      <xdr:colOff>674966</xdr:colOff>
      <xdr:row>75</xdr:row>
      <xdr:rowOff>34925</xdr:rowOff>
    </xdr:to>
    <xdr:sp macro="" textlink="">
      <xdr:nvSpPr>
        <xdr:cNvPr id="2" name="TextBox 1">
          <a:extLst>
            <a:ext uri="{FF2B5EF4-FFF2-40B4-BE49-F238E27FC236}">
              <a16:creationId xmlns:a16="http://schemas.microsoft.com/office/drawing/2014/main" id="{E00C3802-2713-C58C-BEC3-F29383EFF6DE}"/>
            </a:ext>
          </a:extLst>
        </xdr:cNvPr>
        <xdr:cNvSpPr txBox="1"/>
      </xdr:nvSpPr>
      <xdr:spPr>
        <a:xfrm>
          <a:off x="13518538534" y="1228082"/>
          <a:ext cx="6453466" cy="1059244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מבוא, עיקרון מרכזי, הגדרות ותחולה </a:t>
          </a:r>
        </a:p>
        <a:p>
          <a:pPr algn="r" rtl="1"/>
          <a:endParaRPr lang="he-IL"/>
        </a:p>
        <a:p>
          <a:pPr algn="r" rtl="1"/>
          <a:r>
            <a:rPr lang="he-IL" b="1" u="sng"/>
            <a:t>מבוא</a:t>
          </a:r>
          <a:r>
            <a:rPr lang="he-IL"/>
            <a:t> </a:t>
          </a:r>
        </a:p>
        <a:p>
          <a:pPr algn="r" rtl="1"/>
          <a:endParaRPr lang="he-IL"/>
        </a:p>
        <a:p>
          <a:pPr algn="r" rtl="1"/>
          <a:r>
            <a:rPr lang="he-IL"/>
            <a:t>תקנים מסוימים דורשים למדוד נכסים במועד ההכרה לראשונה לפי העלות -</a:t>
          </a:r>
          <a:r>
            <a:rPr lang="he-IL" baseline="0"/>
            <a:t> </a:t>
          </a:r>
          <a:r>
            <a:rPr lang="he-IL"/>
            <a:t>למשל רכוש קבוע, נכסים בלתי מוחשיים ונדלן להשקעה נמדדים במועד ההכרה לראשונה לפי עלות. </a:t>
          </a:r>
        </a:p>
        <a:p>
          <a:pPr algn="r" rtl="1"/>
          <a:endParaRPr lang="he-IL"/>
        </a:p>
        <a:p>
          <a:pPr algn="r" rtl="1"/>
          <a:r>
            <a:rPr lang="he-IL"/>
            <a:t>לפיכך, מתעוררת השאלה האם עלויות אשראי שהתהוו ברכישת הנכס או במהלך הקמת הנכס נכללות בעלות הנכס. </a:t>
          </a:r>
        </a:p>
        <a:p>
          <a:pPr algn="r" rtl="1"/>
          <a:endParaRPr lang="he-IL"/>
        </a:p>
        <a:p>
          <a:pPr algn="r" rtl="1"/>
          <a:r>
            <a:rPr lang="he-IL"/>
            <a:t>קיימים מספר טיעונים חזקים התומכים בהיוון עלויות אשראי. </a:t>
          </a:r>
        </a:p>
        <a:p>
          <a:pPr algn="r" rtl="1"/>
          <a:endParaRPr lang="he-IL"/>
        </a:p>
        <a:p>
          <a:pPr algn="r" rtl="1"/>
          <a:r>
            <a:rPr lang="he-IL"/>
            <a:t>לדוגמה, עלויות האשראי דומות לעלויות אחרות שניתן לייחס לרכישת הנכס; </a:t>
          </a:r>
        </a:p>
        <a:p>
          <a:pPr algn="r" rtl="1"/>
          <a:r>
            <a:rPr lang="he-IL"/>
            <a:t>הכרה בעלויות אשראי ברווח או הפסד גורמת להבדל בין מצב שבו הנכס נרכש לבין מצב שבו הישות מקימה אותו משום שבעת רכישת נכס המוכר מגלם בעלות המכירה את עלויות האשראי שנוצרו לו; </a:t>
          </a:r>
        </a:p>
        <a:p>
          <a:pPr algn="r" rtl="1"/>
          <a:r>
            <a:rPr lang="he-IL"/>
            <a:t>היוון עלויות אשראי מביא לכך שעלות הנכס דומה יותר לשווי השוק שלו. </a:t>
          </a:r>
        </a:p>
        <a:p>
          <a:pPr algn="r" rtl="1"/>
          <a:endParaRPr lang="he-IL"/>
        </a:p>
        <a:p>
          <a:pPr algn="r" rtl="1"/>
          <a:r>
            <a:rPr lang="he-IL"/>
            <a:t>בעבר, תקן חשבונאות בינלאומי 23  אפשר לישות להוון עלויות אשראי אולם לא הייתה חובה כזו. </a:t>
          </a:r>
        </a:p>
        <a:p>
          <a:pPr algn="r" rtl="1"/>
          <a:endParaRPr lang="he-IL"/>
        </a:p>
        <a:p>
          <a:pPr algn="r" rtl="1"/>
          <a:r>
            <a:rPr lang="he-IL"/>
            <a:t>מאוחר יותר, פרסם ה- </a:t>
          </a:r>
          <a:r>
            <a:rPr lang="en-US"/>
            <a:t>IASB </a:t>
          </a:r>
          <a:r>
            <a:rPr lang="he-IL"/>
            <a:t> תקן מתוקן המחייב ישויות להוון עלויות אשראי במקרים שיפורטו להלן. </a:t>
          </a:r>
        </a:p>
        <a:p>
          <a:pPr algn="r" rtl="1"/>
          <a:endParaRPr lang="he-IL"/>
        </a:p>
        <a:p>
          <a:pPr algn="r" rtl="1"/>
          <a:r>
            <a:rPr lang="he-IL" b="1" u="sng"/>
            <a:t>עיקרון מרכזי, הגדרות ותחולה </a:t>
          </a:r>
        </a:p>
        <a:p>
          <a:pPr algn="r" rtl="1"/>
          <a:r>
            <a:rPr lang="he-IL" b="1"/>
            <a:t>1. עלויות אשראי שניתן לייחס במישרין לרכישה, להקמה או לייצור של נכס כשיר מהוות חלק מהעלות של אותו נכס. עלויות אשראי אחרות מוכרות כהוצאה. </a:t>
          </a:r>
        </a:p>
        <a:p>
          <a:pPr algn="r" rtl="1"/>
          <a:endParaRPr lang="he-IL" b="1"/>
        </a:p>
        <a:p>
          <a:pPr algn="r" rtl="1"/>
          <a:r>
            <a:rPr lang="he-IL"/>
            <a:t>בהתאם לעיקרון המרכזי יש להוון </a:t>
          </a:r>
          <a:r>
            <a:rPr lang="he-IL" b="1"/>
            <a:t>עלויות אשראי </a:t>
          </a:r>
          <a:r>
            <a:rPr lang="he-IL"/>
            <a:t>שניתן לייחס במישרין לרכישה, הקמה או ייצור של </a:t>
          </a:r>
          <a:r>
            <a:rPr lang="he-IL" b="1"/>
            <a:t>נכס כשיר</a:t>
          </a:r>
          <a:r>
            <a:rPr lang="he-IL"/>
            <a:t>. </a:t>
          </a:r>
        </a:p>
        <a:p>
          <a:pPr algn="r" rtl="1"/>
          <a:endParaRPr lang="he-IL"/>
        </a:p>
        <a:p>
          <a:pPr algn="r" rtl="1"/>
          <a:r>
            <a:rPr lang="he-IL"/>
            <a:t>התקן מגדיר בסעיף 5 מהן </a:t>
          </a:r>
          <a:r>
            <a:rPr lang="he-IL" u="sng"/>
            <a:t>עלויות אשראי </a:t>
          </a:r>
          <a:r>
            <a:rPr lang="he-IL"/>
            <a:t>ומהו </a:t>
          </a:r>
          <a:r>
            <a:rPr lang="he-IL" u="sng"/>
            <a:t>נכס כשיר</a:t>
          </a:r>
          <a:r>
            <a:rPr lang="he-IL"/>
            <a:t>. </a:t>
          </a:r>
        </a:p>
        <a:p>
          <a:pPr algn="r" rtl="1"/>
          <a:endParaRPr lang="he-IL"/>
        </a:p>
        <a:p>
          <a:pPr algn="r" rtl="1"/>
          <a:r>
            <a:rPr lang="he-IL" b="1" u="sng">
              <a:solidFill>
                <a:srgbClr val="FF0000"/>
              </a:solidFill>
            </a:rPr>
            <a:t>עלויות אשראי </a:t>
          </a:r>
        </a:p>
        <a:p>
          <a:pPr algn="r" rtl="1"/>
          <a:r>
            <a:rPr lang="he-IL"/>
            <a:t>מוגדרות כריבית ועלויות אחרות שמתהוות לישות בקשר לקבלת כספים באשראי. </a:t>
          </a:r>
        </a:p>
        <a:p>
          <a:pPr algn="r" rtl="1"/>
          <a:r>
            <a:rPr lang="he-IL"/>
            <a:t>עלויות אשראי עשויות לכלול: </a:t>
          </a:r>
        </a:p>
        <a:p>
          <a:pPr algn="r" rtl="1"/>
          <a:r>
            <a:rPr lang="he-IL"/>
            <a:t>א. הוצאות ריבית שחושבו בשיטת הריבית האפקטיבית כגון, הוצאות ריבית בגין הלוואות מבנקים, אשראי לזמן קצר ואגרות חוב.</a:t>
          </a:r>
        </a:p>
        <a:p>
          <a:pPr algn="r" rtl="1"/>
          <a:r>
            <a:rPr lang="he-IL"/>
            <a:t>ב. ריבית המתייחסת להתחייבויות בגין חכירה (נלמד בהמשך).</a:t>
          </a:r>
        </a:p>
        <a:p>
          <a:pPr algn="r" rtl="1"/>
          <a:r>
            <a:rPr lang="he-IL"/>
            <a:t>ג. הפרשי שער הנובעים מאשראי במטבע חוץ, במידה שהם נחשבים כתיאום לעלויות ריבית (תלמדו בהמשך). </a:t>
          </a:r>
        </a:p>
        <a:p>
          <a:pPr algn="r" rtl="1"/>
          <a:endParaRPr lang="he-IL"/>
        </a:p>
        <a:p>
          <a:pPr algn="r" rtl="1"/>
          <a:r>
            <a:rPr lang="he-IL"/>
            <a:t>התקן </a:t>
          </a:r>
          <a:r>
            <a:rPr lang="he-IL" b="1" u="sng"/>
            <a:t>אינו כולל </a:t>
          </a:r>
          <a:r>
            <a:rPr lang="he-IL"/>
            <a:t>במסגרת עלויות אשראי עלויות הקשורות להון, לרבות מניות בכורה שמסווגות כמכשירים הוניים, כלומר דיבידנד בגין המכשירים הללו אינו מהווה עלויות אשראי. </a:t>
          </a:r>
        </a:p>
        <a:p>
          <a:pPr algn="r" rtl="1"/>
          <a:endParaRPr lang="he-IL"/>
        </a:p>
        <a:p>
          <a:pPr algn="r" rtl="1"/>
          <a:r>
            <a:rPr lang="he-IL" b="1" u="sng">
              <a:solidFill>
                <a:srgbClr val="FF0000"/>
              </a:solidFill>
            </a:rPr>
            <a:t>נכס כשיר</a:t>
          </a:r>
          <a:endParaRPr lang="he-IL"/>
        </a:p>
        <a:p>
          <a:pPr algn="r" rtl="1"/>
          <a:r>
            <a:rPr lang="he-IL"/>
            <a:t>מוגדר כנכס שנדרש </a:t>
          </a:r>
          <a:r>
            <a:rPr lang="he-IL" b="1"/>
            <a:t>פרק זמן מהותי </a:t>
          </a:r>
          <a:r>
            <a:rPr lang="he-IL"/>
            <a:t>כדי להכין אותו לשימוש המיועד שלו או למכירתו. </a:t>
          </a:r>
        </a:p>
        <a:p>
          <a:pPr algn="r" rtl="1"/>
          <a:r>
            <a:rPr lang="he-IL"/>
            <a:t>א. נכסים שבעת רכישתם מוכנים לשימוש המיועד שלהם או למכירתם, אינם נכסים כשירים</a:t>
          </a:r>
        </a:p>
        <a:p>
          <a:pPr algn="r" rtl="1"/>
          <a:r>
            <a:rPr lang="he-IL">
              <a:solidFill>
                <a:srgbClr val="0070C0"/>
              </a:solidFill>
            </a:rPr>
            <a:t>הרחבה: באופן כללי אנו יודעים שעלות שתיזקף לנכס היא עלות שנוצרה טרם הפך</a:t>
          </a:r>
          <a:r>
            <a:rPr lang="he-IL" baseline="0">
              <a:solidFill>
                <a:srgbClr val="0070C0"/>
              </a:solidFill>
            </a:rPr>
            <a:t> לזמין לשימוש; לכן, אם הנכס זמין לשימוש ממועד רכישתו, אין לייחס אליו עלויות מימון כחלק מהנכס עצמו (אלא כהוצאה). </a:t>
          </a:r>
          <a:endParaRPr lang="he-IL">
            <a:solidFill>
              <a:srgbClr val="0070C0"/>
            </a:solidFill>
          </a:endParaRPr>
        </a:p>
        <a:p>
          <a:pPr algn="r" rtl="1"/>
          <a:endParaRPr lang="he-IL"/>
        </a:p>
        <a:p>
          <a:pPr algn="r" rtl="1"/>
          <a:r>
            <a:rPr lang="he-IL"/>
            <a:t>ב. התקן אינו מגדיר מהו "פרק זמן מהותי" לכן נדרש שיקול דעת בהתחשב בנסיבות ובעובדות הספציפיות. בפרקטיקה, נכס שבדרך כלל נדרשת שנה או יותר עד שהוא מוכן לשימוש המיועד שלו או למכירתו לרוב מסווג כנכס כשיר. </a:t>
          </a:r>
        </a:p>
        <a:p>
          <a:pPr algn="r" rtl="1"/>
          <a:endParaRPr lang="he-IL"/>
        </a:p>
        <a:p>
          <a:pPr algn="r" rtl="1"/>
          <a:r>
            <a:rPr lang="he-IL"/>
            <a:t>ג. בהתאם לנסיבות, הנכסים הבאים יכולים להיות נכסים כשירים: מתקני ייצור, תחנות כוח, נדלן להשקעה, מלאי, נכסים בלתי מוחשיים</a:t>
          </a:r>
          <a:r>
            <a:rPr lang="he-IL" baseline="0"/>
            <a:t> ומכונה ענקית לחימום נקניק שהחברה מקימה פנימית לשימוש העובדים.</a:t>
          </a:r>
          <a:endParaRPr lang="he-IL"/>
        </a:p>
        <a:p>
          <a:pPr algn="r" rtl="1"/>
          <a:endParaRPr lang="he-IL"/>
        </a:p>
        <a:p>
          <a:pPr algn="r" rtl="1"/>
          <a:r>
            <a:rPr lang="he-IL"/>
            <a:t>ד. </a:t>
          </a:r>
          <a:r>
            <a:rPr lang="he-IL" u="sng">
              <a:solidFill>
                <a:srgbClr val="0070C0"/>
              </a:solidFill>
            </a:rPr>
            <a:t>מלאי</a:t>
          </a:r>
          <a:r>
            <a:rPr lang="he-IL"/>
            <a:t> עשוי להיות נכס כשיר כל עוד נדרש פרק זמן </a:t>
          </a:r>
          <a:r>
            <a:rPr lang="he-IL" u="sng">
              <a:solidFill>
                <a:srgbClr val="0070C0"/>
              </a:solidFill>
            </a:rPr>
            <a:t>מהותי</a:t>
          </a:r>
          <a:r>
            <a:rPr lang="he-IL"/>
            <a:t> כדי להכינו למכירתו. לפיכך, מלאי המיוצר בפרק זמן קצר אינו נכס כשיר. </a:t>
          </a:r>
        </a:p>
        <a:p>
          <a:pPr algn="r" rtl="1"/>
          <a:r>
            <a:rPr lang="he-IL"/>
            <a:t>דוגמה למלאי שמהווה נכס כשיר ויש ליישם עבורו את התקן הוא מלאי דירות למכירה. </a:t>
          </a:r>
        </a:p>
        <a:p>
          <a:pPr algn="r" rtl="1"/>
          <a:r>
            <a:rPr lang="he-IL"/>
            <a:t>עם זאת, התקן קובע שגם אם המלאי מהווה נכס כשיר ונדרש פרק זמן מהותי להכינו למכירה, הישות </a:t>
          </a:r>
          <a:r>
            <a:rPr lang="he-IL">
              <a:solidFill>
                <a:srgbClr val="0070C0"/>
              </a:solidFill>
            </a:rPr>
            <a:t>אינה נדרשת ליישם את התקן אם הוא מיוצר, או מופק בדרך אחרת, בכמויות גדולות על בסיס חוזר ונשנה</a:t>
          </a:r>
          <a:r>
            <a:rPr lang="he-IL"/>
            <a:t> ואינו מותאם באופן אישי ללקוח מסוים – עבורו ישות יכולה לבחור אם ליישם את התקן כמדיניות חשבונאית. </a:t>
          </a:r>
        </a:p>
        <a:p>
          <a:pPr algn="r" rtl="1"/>
          <a:r>
            <a:rPr lang="he-IL" i="1"/>
            <a:t>* הדגמה:</a:t>
          </a:r>
          <a:r>
            <a:rPr lang="he-IL" i="1" baseline="0"/>
            <a:t> </a:t>
          </a:r>
          <a:r>
            <a:rPr lang="he-IL" i="1"/>
            <a:t>חברת ״ליר״ מייצרת יין</a:t>
          </a:r>
          <a:r>
            <a:rPr lang="he-IL" i="1" baseline="0"/>
            <a:t> מסוג אחד ויחיד, המתיישן בחביות עץ 5 שנים בדיוק. זה המלאי של ליר. אם היקף ייצור המלאי גבוה, ואין התאמה של סוגי היין ואופן הטיפול בו ללקוחות שונים וכיו״ב (מלאי מאד הומוגני / סטנדרטי) - אז אין חובה להוון עלויות אשראי (אופציונלי). </a:t>
          </a:r>
          <a:endParaRPr lang="he-IL" i="1"/>
        </a:p>
        <a:p>
          <a:pPr algn="r" rtl="1"/>
          <a:endParaRPr lang="he-IL"/>
        </a:p>
        <a:p>
          <a:pPr algn="r" rtl="1"/>
          <a:r>
            <a:rPr lang="he-IL"/>
            <a:t>התקן מאפשר לישות במצב כזה בחירה אם ליישם אותו בשל הקושי לחשב ולהקצות את עלויות האשראי ליחידות השונות של המלאי. דוגמאות למלאי מסוג זה כוללות </a:t>
          </a:r>
          <a:r>
            <a:rPr lang="he-IL">
              <a:solidFill>
                <a:srgbClr val="0070C0"/>
              </a:solidFill>
            </a:rPr>
            <a:t>למשל מטוסים</a:t>
          </a:r>
          <a:r>
            <a:rPr lang="he-IL"/>
            <a:t> ופריטים גדולים אחרים, או למשל משקאות ומזון שנדרש פרק זמן ארוך כדי לייצרם,</a:t>
          </a:r>
          <a:r>
            <a:rPr lang="he-IL" baseline="0"/>
            <a:t> כגון </a:t>
          </a:r>
          <a:r>
            <a:rPr lang="he-IL"/>
            <a:t>משקאות אלכוהוליים שנדרש זמן ארוך עד שיתיישנו או יבשילו. </a:t>
          </a:r>
        </a:p>
        <a:p>
          <a:pPr algn="r" rtl="1"/>
          <a:endParaRPr lang="he-IL"/>
        </a:p>
        <a:p>
          <a:pPr algn="r" rtl="1"/>
          <a:r>
            <a:rPr lang="he-IL"/>
            <a:t>ה. ישות </a:t>
          </a:r>
          <a:r>
            <a:rPr lang="he-IL" u="sng"/>
            <a:t>אינה</a:t>
          </a:r>
          <a:r>
            <a:rPr lang="he-IL"/>
            <a:t> </a:t>
          </a:r>
          <a:r>
            <a:rPr lang="he-IL" u="sng"/>
            <a:t>נדרשת</a:t>
          </a:r>
          <a:r>
            <a:rPr lang="he-IL"/>
            <a:t> ליישם את התקן עבור נכסים הנמדדים בשווי הוגן או בשווי הוגן בניכוי עלויות מכירה לדוגמה נדלן להשקעה הנמדד במודל השווי ההוגן או רכוש קבוע הנמדד במודל הערכה מחדש. </a:t>
          </a:r>
        </a:p>
        <a:p>
          <a:pPr algn="r" rtl="1"/>
          <a:r>
            <a:rPr lang="he-IL"/>
            <a:t>עם זאת, ישות רשאית אם היא רוצה ליישם את התקן עבור נכסים אלו הנמדדים בשווי הוגן כמדיניות חשבונאית. </a:t>
          </a:r>
        </a:p>
        <a:p>
          <a:pPr algn="r" rtl="1"/>
          <a:endParaRPr lang="he-IL"/>
        </a:p>
        <a:p>
          <a:pPr algn="r" rtl="1"/>
          <a:r>
            <a:rPr lang="he-IL"/>
            <a:t>ו. התקן קובע שנכסים פיננסים אינם מהווים נכס כשיר. </a:t>
          </a:r>
          <a:endParaRPr lang="en-US" sz="1100"/>
        </a:p>
      </xdr:txBody>
    </xdr:sp>
    <xdr:clientData/>
  </xdr:twoCellAnchor>
  <xdr:twoCellAnchor>
    <xdr:from>
      <xdr:col>0</xdr:col>
      <xdr:colOff>0</xdr:colOff>
      <xdr:row>77</xdr:row>
      <xdr:rowOff>1065</xdr:rowOff>
    </xdr:from>
    <xdr:to>
      <xdr:col>8</xdr:col>
      <xdr:colOff>168742</xdr:colOff>
      <xdr:row>102</xdr:row>
      <xdr:rowOff>19050</xdr:rowOff>
    </xdr:to>
    <xdr:sp macro="" textlink="">
      <xdr:nvSpPr>
        <xdr:cNvPr id="3" name="TextBox 2">
          <a:extLst>
            <a:ext uri="{FF2B5EF4-FFF2-40B4-BE49-F238E27FC236}">
              <a16:creationId xmlns:a16="http://schemas.microsoft.com/office/drawing/2014/main" id="{FBD76070-CF71-AA46-B799-A294EC8D038B}"/>
            </a:ext>
          </a:extLst>
        </xdr:cNvPr>
        <xdr:cNvSpPr txBox="1"/>
      </xdr:nvSpPr>
      <xdr:spPr>
        <a:xfrm>
          <a:off x="13518219258" y="13209065"/>
          <a:ext cx="6772742" cy="509798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600" b="1" u="sng"/>
            <a:t>עלויות אשראי הכשירות להיוון</a:t>
          </a:r>
        </a:p>
        <a:p>
          <a:pPr algn="r" rtl="1"/>
          <a:endParaRPr lang="he-IL"/>
        </a:p>
        <a:p>
          <a:pPr algn="r" rtl="1"/>
          <a:r>
            <a:rPr lang="he-IL" b="1" u="sng"/>
            <a:t>עלויות אשראי הניתנות לייחוס במישרין</a:t>
          </a:r>
          <a:r>
            <a:rPr lang="he-IL"/>
            <a:t> </a:t>
          </a:r>
        </a:p>
        <a:p>
          <a:pPr algn="r" rtl="1"/>
          <a:endParaRPr lang="he-IL"/>
        </a:p>
        <a:p>
          <a:pPr algn="r" rtl="1"/>
          <a:r>
            <a:rPr lang="he-IL"/>
            <a:t>ישות תהוון עלויות אשראי הניתנות לייחוס במישרין לרכישה, להקמה או לייצור של נכס כשיר כחלק מהעלות של אותו נכס. ישות תכיר בעלויות אשראי אחרות כהוצאה בתקופה שבה הן מתהוות לישות.</a:t>
          </a:r>
        </a:p>
        <a:p>
          <a:pPr algn="r" rtl="1"/>
          <a:endParaRPr lang="he-IL"/>
        </a:p>
        <a:p>
          <a:pPr algn="r" rtl="1"/>
          <a:r>
            <a:rPr lang="he-IL"/>
            <a:t>עלויות אשראי הניתנות לייחסו במישרין לרכישה, להקמה או לייצור של נכס כשיר מהוונות כחלק מעלות הנכס כאשר צפוי שכתוצאה מהן ינבעו הטבות כלכליות עתידיות לישות והעלויות ניתנות למדידה באופן מהימן. </a:t>
          </a:r>
        </a:p>
        <a:p>
          <a:pPr algn="r" rtl="1"/>
          <a:endParaRPr lang="he-IL"/>
        </a:p>
        <a:p>
          <a:pPr algn="r" rtl="1"/>
          <a:r>
            <a:rPr lang="he-IL" b="1">
              <a:solidFill>
                <a:srgbClr val="0070C0"/>
              </a:solidFill>
            </a:rPr>
            <a:t>עלויות אשראי הניתנות לייחס במישרין הן </a:t>
          </a:r>
        </a:p>
        <a:p>
          <a:pPr algn="r" rtl="1"/>
          <a:r>
            <a:rPr lang="he-IL" b="1">
              <a:solidFill>
                <a:srgbClr val="0070C0"/>
              </a:solidFill>
            </a:rPr>
            <a:t>עלויות אשראי אשר היו נמנעות </a:t>
          </a:r>
        </a:p>
        <a:p>
          <a:pPr algn="r" rtl="1"/>
          <a:r>
            <a:rPr lang="he-IL" b="1">
              <a:solidFill>
                <a:srgbClr val="0070C0"/>
              </a:solidFill>
            </a:rPr>
            <a:t>אילו היציאה בגין הנכס הכשיר לא הייתה מבוצעת.</a:t>
          </a:r>
        </a:p>
        <a:p>
          <a:pPr algn="r" rtl="1"/>
          <a:endParaRPr lang="he-IL"/>
        </a:p>
        <a:p>
          <a:pPr algn="r" rtl="1"/>
          <a:r>
            <a:rPr lang="he-IL"/>
            <a:t>מאחר ולא תמיד ניתן לזהות בקלות קשר ישיר בין עלויות אשראי מסוימות לבין הנכס הכשיר ולקבוע מהן העלויות שהיו נמנעות, </a:t>
          </a:r>
        </a:p>
        <a:p>
          <a:pPr algn="r" rtl="1"/>
          <a:r>
            <a:rPr lang="he-IL"/>
            <a:t>התקן כולל דרישות נפרדות עבור אשראי ספציפי (כספים שישות לווה במיוחד כדי להשיג נכס כשיר מסוים) </a:t>
          </a:r>
        </a:p>
        <a:p>
          <a:pPr algn="r" rtl="1"/>
          <a:r>
            <a:rPr lang="he-IL"/>
            <a:t>ועבור אשראי כללי (לא ספציפי).</a:t>
          </a:r>
        </a:p>
        <a:p>
          <a:pPr algn="r" rtl="1"/>
          <a:endParaRPr lang="he-IL"/>
        </a:p>
        <a:p>
          <a:pPr algn="r" rtl="1"/>
          <a:r>
            <a:rPr lang="he-IL" b="1" u="sng"/>
            <a:t>אשראי ספציפי (המקרה הקל)</a:t>
          </a:r>
        </a:p>
        <a:p>
          <a:pPr algn="r" rtl="1"/>
          <a:endParaRPr lang="he-IL"/>
        </a:p>
        <a:p>
          <a:pPr algn="r" rtl="1"/>
          <a:r>
            <a:rPr lang="he-IL"/>
            <a:t>במידה שישות לווה כספים </a:t>
          </a:r>
          <a:r>
            <a:rPr lang="he-IL" u="sng"/>
            <a:t>במיוחד</a:t>
          </a:r>
          <a:r>
            <a:rPr lang="he-IL"/>
            <a:t> לצורך השגת נכס כשיר, </a:t>
          </a:r>
        </a:p>
        <a:p>
          <a:pPr algn="r" rtl="1"/>
          <a:r>
            <a:rPr lang="he-IL"/>
            <a:t>ישות תקבע את הסכום של עלויות האשראי הראויות להיוון (שנוסיף</a:t>
          </a:r>
          <a:r>
            <a:rPr lang="he-IL" baseline="0"/>
            <a:t> לנכס הכשיר) </a:t>
          </a:r>
          <a:r>
            <a:rPr lang="he-IL"/>
            <a:t>לפי </a:t>
          </a:r>
        </a:p>
        <a:p>
          <a:pPr algn="r" rtl="1"/>
          <a:r>
            <a:rPr lang="he-IL"/>
            <a:t>עלויות האשראי </a:t>
          </a:r>
          <a:r>
            <a:rPr lang="he-IL" u="sng"/>
            <a:t>בפועל</a:t>
          </a:r>
          <a:r>
            <a:rPr lang="he-IL"/>
            <a:t> אשר התהוו בגין אשראי זה במהלך התקופה, </a:t>
          </a:r>
        </a:p>
        <a:p>
          <a:pPr algn="r" rtl="1"/>
          <a:r>
            <a:rPr lang="he-IL"/>
            <a:t>בניכוי כל הכנסה שנבעה </a:t>
          </a:r>
          <a:r>
            <a:rPr lang="he-IL" u="sng"/>
            <a:t>מהשקעה זמנית </a:t>
          </a:r>
          <a:r>
            <a:rPr lang="he-IL"/>
            <a:t>של אותו אשראי.</a:t>
          </a:r>
        </a:p>
        <a:p>
          <a:pPr algn="r" rtl="1"/>
          <a:endParaRPr lang="he-IL"/>
        </a:p>
        <a:p>
          <a:pPr algn="r" rtl="1"/>
          <a:r>
            <a:rPr lang="he-IL"/>
            <a:t>לעתים, ישות מקבלת אשראי ספציפי </a:t>
          </a:r>
        </a:p>
        <a:p>
          <a:pPr algn="r" rtl="1"/>
          <a:r>
            <a:rPr lang="he-IL"/>
            <a:t>לפני היציאות בגין הנכס הכשיר ומשקיעה אותו באופן זמני. </a:t>
          </a:r>
        </a:p>
        <a:p>
          <a:pPr algn="r" rtl="1"/>
          <a:endParaRPr lang="he-IL"/>
        </a:p>
        <a:p>
          <a:pPr algn="r" rtl="1"/>
          <a:r>
            <a:rPr lang="he-IL"/>
            <a:t>התקן דורש להפחית הכנסות מההשקעה זמנית של אותו אשראי מעלויות האשראי שנוצר בגין הנכס כך שלמעשה מהוונים את הוצאות המימון נטו בגין האשראי הספציפי.</a:t>
          </a:r>
        </a:p>
        <a:p>
          <a:pPr algn="r" rtl="1"/>
          <a:endParaRPr lang="he-IL"/>
        </a:p>
      </xdr:txBody>
    </xdr:sp>
    <xdr:clientData/>
  </xdr:twoCellAnchor>
  <xdr:twoCellAnchor>
    <xdr:from>
      <xdr:col>0</xdr:col>
      <xdr:colOff>0</xdr:colOff>
      <xdr:row>180</xdr:row>
      <xdr:rowOff>106574</xdr:rowOff>
    </xdr:from>
    <xdr:to>
      <xdr:col>8</xdr:col>
      <xdr:colOff>44406</xdr:colOff>
      <xdr:row>213</xdr:row>
      <xdr:rowOff>191457</xdr:rowOff>
    </xdr:to>
    <xdr:sp macro="" textlink="">
      <xdr:nvSpPr>
        <xdr:cNvPr id="4" name="TextBox 3">
          <a:extLst>
            <a:ext uri="{FF2B5EF4-FFF2-40B4-BE49-F238E27FC236}">
              <a16:creationId xmlns:a16="http://schemas.microsoft.com/office/drawing/2014/main" id="{E94F37EB-AFBD-BA77-0E41-71CFC19A36AD}"/>
            </a:ext>
          </a:extLst>
        </xdr:cNvPr>
        <xdr:cNvSpPr txBox="1"/>
      </xdr:nvSpPr>
      <xdr:spPr>
        <a:xfrm>
          <a:off x="13534020117" y="37070594"/>
          <a:ext cx="6656064" cy="6824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a:t>
          </a:r>
        </a:p>
        <a:p>
          <a:pPr algn="r" rtl="1"/>
          <a:endParaRPr lang="he-IL"/>
        </a:p>
        <a:p>
          <a:pPr algn="r" rtl="1"/>
          <a:r>
            <a:rPr lang="he-IL"/>
            <a:t>במידה שישות לווה כספים באופן כללי [למשל:</a:t>
          </a:r>
          <a:r>
            <a:rPr lang="he-IL" baseline="0"/>
            <a:t> חותמת על מסגרת אשראי לניצול שוטף למטרות שונות, ובכללן הקמת נכסים]</a:t>
          </a:r>
          <a:endParaRPr lang="he-IL"/>
        </a:p>
        <a:p>
          <a:pPr algn="r" rtl="1"/>
          <a:r>
            <a:rPr lang="he-IL"/>
            <a:t>ומשתמשת בהם להשגת נכס כשיר [ליצירתו, להקמתו], </a:t>
          </a:r>
        </a:p>
        <a:p>
          <a:pPr algn="r" rtl="1"/>
          <a:r>
            <a:rPr lang="he-IL"/>
            <a:t>הישות תקבע את הסכום של עלויות האשראי הראויות להיוון [את</a:t>
          </a:r>
          <a:r>
            <a:rPr lang="he-IL" baseline="0"/>
            <a:t> עלות המימון שנוסיף לנכס]</a:t>
          </a:r>
          <a:endParaRPr lang="he-IL"/>
        </a:p>
        <a:p>
          <a:pPr algn="r" rtl="1"/>
          <a:endParaRPr lang="he-IL"/>
        </a:p>
        <a:p>
          <a:pPr algn="r" rtl="1"/>
          <a:r>
            <a:rPr lang="he-IL"/>
            <a:t>על ידי ייחוס </a:t>
          </a:r>
          <a:r>
            <a:rPr lang="he-IL" u="sng">
              <a:solidFill>
                <a:srgbClr val="FF0000"/>
              </a:solidFill>
            </a:rPr>
            <a:t>שיעור היוון [% ריבית] </a:t>
          </a:r>
          <a:r>
            <a:rPr lang="he-IL"/>
            <a:t>ליציאות [תשלומים] בגין נכס זה. </a:t>
          </a:r>
        </a:p>
        <a:p>
          <a:pPr algn="r" rtl="1"/>
          <a:endParaRPr lang="he-IL"/>
        </a:p>
        <a:p>
          <a:pPr algn="r" rtl="1"/>
          <a:r>
            <a:rPr lang="he-IL"/>
            <a:t>שיעור ההיוון יהיה:</a:t>
          </a:r>
        </a:p>
        <a:p>
          <a:pPr algn="r" rtl="1"/>
          <a:r>
            <a:rPr lang="he-IL"/>
            <a:t>- הממוצע המשוקלל </a:t>
          </a:r>
        </a:p>
        <a:p>
          <a:pPr algn="r" rtl="1"/>
          <a:r>
            <a:rPr lang="he-IL"/>
            <a:t>-</a:t>
          </a:r>
          <a:r>
            <a:rPr lang="he-IL" baseline="0"/>
            <a:t> </a:t>
          </a:r>
          <a:r>
            <a:rPr lang="he-IL"/>
            <a:t>של עלויות האשראי </a:t>
          </a:r>
        </a:p>
        <a:p>
          <a:pPr algn="r" rtl="1"/>
          <a:r>
            <a:rPr lang="he-IL"/>
            <a:t>- המתאימות לכלל האשראי של הישות שקיים במהלך התקופה.</a:t>
          </a:r>
        </a:p>
        <a:p>
          <a:pPr algn="r" rtl="1"/>
          <a:endParaRPr lang="he-IL" b="1">
            <a:solidFill>
              <a:srgbClr val="0070C0"/>
            </a:solidFill>
          </a:endParaRPr>
        </a:p>
        <a:p>
          <a:pPr algn="r" rtl="1"/>
          <a:r>
            <a:rPr lang="he-IL" b="1">
              <a:solidFill>
                <a:srgbClr val="0070C0"/>
              </a:solidFill>
            </a:rPr>
            <a:t>בגסות: אנחנו הולכים להנהיג כאן מנגנון מתוחכ</a:t>
          </a:r>
          <a:r>
            <a:rPr lang="he-IL" b="1" baseline="0">
              <a:solidFill>
                <a:srgbClr val="0070C0"/>
              </a:solidFill>
            </a:rPr>
            <a:t>ם יותר שיסייע גם להבנה של אופן ההקצאה של עלויות מימון ״כלליות״ לנכסים כשירים. לאור העובדה שלא מדובר באשראי ספציפי, התהליך מורכב יותר.</a:t>
          </a:r>
          <a:endParaRPr lang="he-IL" b="1">
            <a:solidFill>
              <a:srgbClr val="0070C0"/>
            </a:solidFill>
          </a:endParaRPr>
        </a:p>
        <a:p>
          <a:pPr algn="r" rtl="1"/>
          <a:endParaRPr lang="he-IL"/>
        </a:p>
        <a:p>
          <a:pPr algn="r" rtl="1"/>
          <a:r>
            <a:rPr lang="he-IL"/>
            <a:t>אולם, ישות לא תכלול בחישוב זה עלויות אשראי המתאימות לאשראי שהתקבל במיוחד כדי להשיג נכס כשיר עד שכל הפעולות הדרושות להכנת הנכס לשימושו המיועד או למכירתו הושלמו. [בחישוב שיעור היוון לאשראי כללי לא נכלול ריבית באשראי ספציפי]</a:t>
          </a:r>
        </a:p>
        <a:p>
          <a:pPr algn="r" rtl="1"/>
          <a:endParaRPr lang="he-IL"/>
        </a:p>
        <a:p>
          <a:pPr algn="r" rtl="1"/>
          <a:r>
            <a:rPr lang="he-IL"/>
            <a:t>הסכום של עלויות האשראי שישות מהוונת במהלך תקופה לא יעלה על הסכום של עלויות האשראי שהתהוו לה באותה תקופה.</a:t>
          </a:r>
        </a:p>
        <a:p>
          <a:pPr algn="r" rtl="1"/>
          <a:endParaRPr lang="he-IL"/>
        </a:p>
        <a:p>
          <a:pPr algn="r" rtl="1"/>
          <a:r>
            <a:rPr lang="he-IL" u="sng"/>
            <a:t>הערות:</a:t>
          </a:r>
        </a:p>
        <a:p>
          <a:pPr algn="r" rtl="1"/>
          <a:r>
            <a:rPr lang="he-IL"/>
            <a:t>1. עלויות בגין אשראי ספציפי לנכסים כשירים שהושלמו – אם ישות קיבלה אשראי ספציפי להקמת נכס כשיר, והישות השלימה את הכנת הנכס לשימושו המיועד או למכירתו, האשראי הופך לחלק מהאשראי הכללי אחרי שהכנת הנכס הושלמה. </a:t>
          </a:r>
        </a:p>
        <a:p>
          <a:pPr algn="r" rtl="1"/>
          <a:endParaRPr lang="he-IL"/>
        </a:p>
        <a:p>
          <a:pPr algn="r" rtl="1"/>
          <a:r>
            <a:rPr lang="he-IL"/>
            <a:t>2. עלויות אשראי ספציפיות בגין נכס שאינו כשיר – מאחר והתקן קובע שאין לכלול בחישוב זה עלויות אשראי המתאימות לאשראי שהתקבל במיוחד כדי להשיג נכס כשיר עד שהכנתו הושלמה, המשמעות היא שיש לכלול עלויות ספציפיות בגין נכס שאינו כשיר במסגרת האשראי הכללי.</a:t>
          </a:r>
        </a:p>
        <a:p>
          <a:pPr algn="r" rtl="1"/>
          <a:endParaRPr lang="he-IL"/>
        </a:p>
        <a:p>
          <a:pPr algn="r" rtl="1"/>
          <a:r>
            <a:rPr lang="he-IL"/>
            <a:t>3. חישוב שיעור ההיוון המשוקלל הנו בהתאם לתקופת הדיווח של החברה. אם החברה מציגה דוחות שנתיים, חישוב שיעור ההיוון המשוקלל מתייחס לכל האשראי הלא ספציפי שהיה במהלך השנה ללא תלות למועד תחילת ההשקעה בנכס הכשיר.</a:t>
          </a:r>
        </a:p>
        <a:p>
          <a:pPr algn="r" rtl="1"/>
          <a:endParaRPr lang="he-IL"/>
        </a:p>
        <a:p>
          <a:pPr algn="r" rtl="1"/>
          <a:r>
            <a:rPr lang="he-IL" u="sng"/>
            <a:t>אופן</a:t>
          </a:r>
          <a:r>
            <a:rPr lang="he-IL" u="sng" baseline="0"/>
            <a:t> חישוב שיעור היוון משוקלל:</a:t>
          </a:r>
          <a:endParaRPr lang="he-IL" u="sng"/>
        </a:p>
        <a:p>
          <a:pPr algn="r" rtl="1"/>
          <a:r>
            <a:rPr lang="he-IL"/>
            <a:t>לפי היחס בין עלויות האשראי בגין האשראי הכללי במהלך התקופה; לבין</a:t>
          </a:r>
        </a:p>
        <a:p>
          <a:pPr algn="r" rtl="1"/>
          <a:r>
            <a:rPr lang="he-IL"/>
            <a:t>ממוצע משוקלל של סכום האשראי הכללי במהלך התקופה.</a:t>
          </a:r>
        </a:p>
        <a:p>
          <a:pPr algn="r" rtl="1"/>
          <a:endParaRPr lang="he-IL"/>
        </a:p>
      </xdr:txBody>
    </xdr:sp>
    <xdr:clientData/>
  </xdr:twoCellAnchor>
  <xdr:twoCellAnchor>
    <xdr:from>
      <xdr:col>0</xdr:col>
      <xdr:colOff>37630</xdr:colOff>
      <xdr:row>262</xdr:row>
      <xdr:rowOff>28222</xdr:rowOff>
    </xdr:from>
    <xdr:to>
      <xdr:col>7</xdr:col>
      <xdr:colOff>778184</xdr:colOff>
      <xdr:row>271</xdr:row>
      <xdr:rowOff>103533</xdr:rowOff>
    </xdr:to>
    <xdr:sp macro="" textlink="">
      <xdr:nvSpPr>
        <xdr:cNvPr id="5" name="TextBox 4">
          <a:extLst>
            <a:ext uri="{FF2B5EF4-FFF2-40B4-BE49-F238E27FC236}">
              <a16:creationId xmlns:a16="http://schemas.microsoft.com/office/drawing/2014/main" id="{F7BBE9B6-4456-6357-FD08-8ABD2A90F84C}"/>
            </a:ext>
          </a:extLst>
        </xdr:cNvPr>
        <xdr:cNvSpPr txBox="1"/>
      </xdr:nvSpPr>
      <xdr:spPr>
        <a:xfrm>
          <a:off x="13507131626" y="48885260"/>
          <a:ext cx="6514222" cy="190783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a:p>
        <a:p>
          <a:pPr algn="r" rtl="1"/>
          <a:r>
            <a:rPr lang="he-IL" b="1" u="sng"/>
            <a:t>אשראי כללי - העלויות להיוון</a:t>
          </a:r>
        </a:p>
        <a:p>
          <a:pPr algn="r" rtl="1"/>
          <a:endParaRPr lang="he-IL"/>
        </a:p>
        <a:p>
          <a:pPr algn="r" rtl="1"/>
          <a:r>
            <a:rPr lang="he-IL"/>
            <a:t>לפי הנמוך מבין:</a:t>
          </a:r>
        </a:p>
        <a:p>
          <a:pPr algn="r" rtl="1"/>
          <a:r>
            <a:rPr lang="he-IL"/>
            <a:t>א. עלויות אשראי כללי שנוצרו בפועל - תקרת ההיוון.</a:t>
          </a:r>
        </a:p>
        <a:p>
          <a:pPr algn="r" rtl="1"/>
          <a:r>
            <a:rPr lang="he-IL"/>
            <a:t>ב. שיעור</a:t>
          </a:r>
          <a:r>
            <a:rPr lang="he-IL" baseline="0"/>
            <a:t> היוון משוקלל (לפי החישוב לעיל) מוכפל בממוצע המשוקלל של היציאות בגין הנכס הכשיר.</a:t>
          </a:r>
        </a:p>
        <a:p>
          <a:pPr algn="r" rtl="1"/>
          <a:endParaRPr lang="he-IL" baseline="0"/>
        </a:p>
        <a:p>
          <a:pPr algn="r" rtl="1"/>
          <a:r>
            <a:rPr lang="he-IL"/>
            <a:t>יציאות בגין נכס כשיר כוללות רק אותן יציאות שהביאו לתשלומי מזומנים, להעברות נכסים אחרים או לנטילת התחייבויות נושאות ריבית. מיציאות אלה יש להפחית תשלומים שהתקבלו במהלך התקדמות העבודה ומענקים שהתקבלו בקשר לנכס. </a:t>
          </a:r>
        </a:p>
        <a:p>
          <a:pPr algn="r" rtl="1"/>
          <a:endParaRPr lang="he-IL"/>
        </a:p>
        <a:p>
          <a:pPr algn="r" rtl="1"/>
          <a:endParaRPr lang="he-IL"/>
        </a:p>
        <a:p>
          <a:pPr algn="r" rtl="1"/>
          <a:endParaRPr lang="he-IL"/>
        </a:p>
      </xdr:txBody>
    </xdr:sp>
    <xdr:clientData/>
  </xdr:twoCellAnchor>
  <xdr:twoCellAnchor>
    <xdr:from>
      <xdr:col>0</xdr:col>
      <xdr:colOff>0</xdr:colOff>
      <xdr:row>336</xdr:row>
      <xdr:rowOff>133218</xdr:rowOff>
    </xdr:from>
    <xdr:to>
      <xdr:col>8</xdr:col>
      <xdr:colOff>106574</xdr:colOff>
      <xdr:row>351</xdr:row>
      <xdr:rowOff>162491</xdr:rowOff>
    </xdr:to>
    <xdr:sp macro="" textlink="">
      <xdr:nvSpPr>
        <xdr:cNvPr id="6" name="TextBox 5">
          <a:extLst>
            <a:ext uri="{FF2B5EF4-FFF2-40B4-BE49-F238E27FC236}">
              <a16:creationId xmlns:a16="http://schemas.microsoft.com/office/drawing/2014/main" id="{087F17A2-89EA-3391-C886-30C7136FB9EF}"/>
            </a:ext>
          </a:extLst>
        </xdr:cNvPr>
        <xdr:cNvSpPr txBox="1"/>
      </xdr:nvSpPr>
      <xdr:spPr>
        <a:xfrm>
          <a:off x="13514780160" y="63804262"/>
          <a:ext cx="6708864" cy="31080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a:t>סיכום שלבים בהיוון</a:t>
          </a:r>
          <a:r>
            <a:rPr lang="he-IL" baseline="0"/>
            <a:t> </a:t>
          </a:r>
          <a:r>
            <a:rPr lang="he-IL"/>
            <a:t>עלויות</a:t>
          </a:r>
          <a:r>
            <a:rPr lang="he-IL" baseline="0"/>
            <a:t> אשראי:</a:t>
          </a:r>
        </a:p>
        <a:p>
          <a:pPr algn="r" rtl="1"/>
          <a:endParaRPr lang="he-IL" baseline="0"/>
        </a:p>
        <a:p>
          <a:pPr algn="r" rtl="1"/>
          <a:r>
            <a:rPr lang="he-IL" b="1" u="sng"/>
            <a:t>שלב א' – טיפול באשראי ספציפי </a:t>
          </a:r>
        </a:p>
        <a:p>
          <a:pPr algn="r" rtl="1"/>
          <a:r>
            <a:rPr lang="he-IL"/>
            <a:t>היוון כל עלויות האשראי בניכוי הכנסות מימון בגין אשראי ספציפי הנובעות מהשקעות. </a:t>
          </a:r>
        </a:p>
        <a:p>
          <a:pPr algn="r" rtl="1"/>
          <a:endParaRPr lang="he-IL"/>
        </a:p>
        <a:p>
          <a:pPr algn="r" rtl="1"/>
          <a:r>
            <a:rPr lang="he-IL" b="1" u="sng"/>
            <a:t>שלב ב' - חישוב עלויות אשראי לא ספציפי כשירות להיוון</a:t>
          </a:r>
        </a:p>
        <a:p>
          <a:pPr algn="r" rtl="1"/>
          <a:r>
            <a:rPr lang="he-IL"/>
            <a:t>1. חישוב עלויות אשראי לא ספציפי במהלך התקופה  - "תקרת ההיוון"</a:t>
          </a:r>
        </a:p>
        <a:p>
          <a:pPr algn="r" rtl="1"/>
          <a:r>
            <a:rPr lang="he-IL"/>
            <a:t>2. חישוב יתרה ממוצעת של אשראי לא ספציפי במהלך התקופה. </a:t>
          </a:r>
        </a:p>
        <a:p>
          <a:pPr algn="r" rtl="1"/>
          <a:r>
            <a:rPr lang="he-IL"/>
            <a:t>3. חישוב שיעור היוון ממוצע של אשראי לא ספציפי (היחס</a:t>
          </a:r>
          <a:r>
            <a:rPr lang="he-IL" baseline="0"/>
            <a:t> בין ״1״ ל-״2״).</a:t>
          </a:r>
          <a:r>
            <a:rPr lang="he-IL"/>
            <a:t> </a:t>
          </a:r>
        </a:p>
        <a:p>
          <a:pPr algn="r" rtl="1"/>
          <a:r>
            <a:rPr lang="he-IL"/>
            <a:t>4. חישוב עלות השקעה ממוצעת בנכס כשיר – כוללת עלויות שהושקעו בנכס בתקופות קודמות</a:t>
          </a:r>
        </a:p>
        <a:p>
          <a:pPr algn="r" rtl="1"/>
          <a:r>
            <a:rPr lang="he-IL"/>
            <a:t>        -כולל עלויות אשראי שהוונו בעבר</a:t>
          </a:r>
        </a:p>
        <a:p>
          <a:pPr algn="r" rtl="1"/>
          <a:r>
            <a:rPr lang="he-IL"/>
            <a:t>       - כולל ממוצע עלויות שהושקעו בנכס במהלך התקופה</a:t>
          </a:r>
        </a:p>
        <a:p>
          <a:pPr algn="r" rtl="1"/>
          <a:r>
            <a:rPr lang="he-IL" baseline="0"/>
            <a:t>       - הנ״ל לגבי עלויות </a:t>
          </a:r>
          <a:r>
            <a:rPr lang="he-IL"/>
            <a:t>במזומן, העברת נכסים או נטילת אשראי נושא ריבית </a:t>
          </a:r>
        </a:p>
        <a:p>
          <a:pPr algn="r" rtl="1"/>
          <a:r>
            <a:rPr lang="he-IL"/>
            <a:t>         בניכוי: אשראי ספציפי למימון נכס כשיר </a:t>
          </a:r>
        </a:p>
        <a:p>
          <a:pPr algn="r" rtl="1"/>
          <a:r>
            <a:rPr lang="he-IL" baseline="0"/>
            <a:t>         בניכוי: </a:t>
          </a:r>
          <a:r>
            <a:rPr lang="he-IL"/>
            <a:t>ממוצע מקדמות מלקוחות במהלך התקופה </a:t>
          </a:r>
        </a:p>
        <a:p>
          <a:pPr algn="r" rtl="1"/>
          <a:r>
            <a:rPr lang="he-IL" baseline="0"/>
            <a:t>         בניכוי:</a:t>
          </a:r>
          <a:r>
            <a:rPr lang="he-IL"/>
            <a:t> ממוצע מענקים ממשלתיים שהתקבלו בגין הנכס </a:t>
          </a:r>
        </a:p>
        <a:p>
          <a:pPr algn="r" rtl="1"/>
          <a:r>
            <a:rPr lang="he-IL"/>
            <a:t>5 חישוב עלות תיאורטית להיוון (מכפלת</a:t>
          </a:r>
          <a:r>
            <a:rPr lang="he-IL" baseline="0"/>
            <a:t> ״3״ ב-״4״).</a:t>
          </a:r>
          <a:endParaRPr lang="he-IL"/>
        </a:p>
        <a:p>
          <a:pPr algn="r" rtl="1"/>
          <a:r>
            <a:rPr lang="he-IL"/>
            <a:t>6 חישוב עלויות כשירות להיוון - הנמוך מבין עלות תיאורטית להיוון לבין תקרת ההיוון </a:t>
          </a:r>
        </a:p>
      </xdr:txBody>
    </xdr:sp>
    <xdr:clientData/>
  </xdr:twoCellAnchor>
  <xdr:twoCellAnchor>
    <xdr:from>
      <xdr:col>0</xdr:col>
      <xdr:colOff>81904</xdr:colOff>
      <xdr:row>505</xdr:row>
      <xdr:rowOff>14144</xdr:rowOff>
    </xdr:from>
    <xdr:to>
      <xdr:col>7</xdr:col>
      <xdr:colOff>649967</xdr:colOff>
      <xdr:row>519</xdr:row>
      <xdr:rowOff>162491</xdr:rowOff>
    </xdr:to>
    <xdr:sp macro="" textlink="">
      <xdr:nvSpPr>
        <xdr:cNvPr id="7" name="TextBox 6">
          <a:extLst>
            <a:ext uri="{FF2B5EF4-FFF2-40B4-BE49-F238E27FC236}">
              <a16:creationId xmlns:a16="http://schemas.microsoft.com/office/drawing/2014/main" id="{6A106596-C8FA-D9B8-4F51-0EB8DD0D2CC9}"/>
            </a:ext>
          </a:extLst>
        </xdr:cNvPr>
        <xdr:cNvSpPr txBox="1"/>
      </xdr:nvSpPr>
      <xdr:spPr>
        <a:xfrm>
          <a:off x="13515062054" y="92198184"/>
          <a:ext cx="6345066" cy="30218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הפרשי</a:t>
          </a:r>
          <a:r>
            <a:rPr lang="he-IL" b="1" u="sng" baseline="0"/>
            <a:t> שער כעלויות אשראי</a:t>
          </a:r>
          <a:endParaRPr lang="en-US" b="1" u="sng"/>
        </a:p>
        <a:p>
          <a:pPr algn="r" rtl="1"/>
          <a:r>
            <a:rPr lang="he-IL"/>
            <a:t>ישות עשויה לגייס אשראי במטבע חוץ. </a:t>
          </a:r>
        </a:p>
        <a:p>
          <a:pPr algn="r" rtl="1"/>
          <a:endParaRPr lang="he-IL"/>
        </a:p>
        <a:p>
          <a:pPr algn="r" rtl="1"/>
          <a:r>
            <a:rPr lang="he-IL"/>
            <a:t>בהתאם להגדרת עלויות אשראי, עלויות אשראי כוללות הפרשי שער הנובעים מאשראי במטבע חוץ, במידה שהם מהווים כתיאום לעלויות ריבית. </a:t>
          </a:r>
        </a:p>
        <a:p>
          <a:pPr algn="r" rtl="1"/>
          <a:endParaRPr lang="he-IL"/>
        </a:p>
        <a:p>
          <a:pPr algn="r" rtl="1"/>
          <a:r>
            <a:rPr lang="he-IL"/>
            <a:t>ככלל, הפרשי שער אמורים לשקף הפרשים בין הריבית עבור אשראי במטבע הפעילות של החברה לבין הריבית עבור אשראי במטבע חוץ. </a:t>
          </a:r>
        </a:p>
        <a:p>
          <a:pPr algn="r" rtl="1"/>
          <a:endParaRPr lang="he-IL"/>
        </a:p>
        <a:p>
          <a:pPr algn="r" rtl="1"/>
          <a:r>
            <a:rPr lang="he-IL"/>
            <a:t>לפיכך, אם קיימים הפרשי שער יש להגביל את ההוצאות בגין הפרשי השער שייחשבו כעלויות אשראי כך שסך עלויות האשראי לא יעלו על סכום עלויות האשראי שהיו מתהוות אילו האשראי היה במטבע הפעילות של החברה בהתבסס על התנאים הקיימים במועד קבלת ההלוואה. </a:t>
          </a:r>
        </a:p>
        <a:p>
          <a:pPr algn="r" rtl="1"/>
          <a:endParaRPr lang="he-IL"/>
        </a:p>
        <a:p>
          <a:pPr algn="r" rtl="1"/>
          <a:r>
            <a:rPr lang="he-IL"/>
            <a:t>הוצאות הריבית בגין אשראי במט"ח (המחושבות בהתאם לשער החליפין הממוצע בתקופה בה הן התהוו) תמיד נחשבות לעלויות אשראי.</a:t>
          </a:r>
          <a:endParaRPr lang="en-US" sz="1100"/>
        </a:p>
      </xdr:txBody>
    </xdr:sp>
    <xdr:clientData/>
  </xdr:twoCellAnchor>
  <xdr:twoCellAnchor>
    <xdr:from>
      <xdr:col>0</xdr:col>
      <xdr:colOff>35387</xdr:colOff>
      <xdr:row>599</xdr:row>
      <xdr:rowOff>94364</xdr:rowOff>
    </xdr:from>
    <xdr:to>
      <xdr:col>7</xdr:col>
      <xdr:colOff>692590</xdr:colOff>
      <xdr:row>612</xdr:row>
      <xdr:rowOff>165139</xdr:rowOff>
    </xdr:to>
    <xdr:sp macro="" textlink="">
      <xdr:nvSpPr>
        <xdr:cNvPr id="8" name="TextBox 7">
          <a:extLst>
            <a:ext uri="{FF2B5EF4-FFF2-40B4-BE49-F238E27FC236}">
              <a16:creationId xmlns:a16="http://schemas.microsoft.com/office/drawing/2014/main" id="{C7B18EF8-A6B4-0846-BF53-DC8B8C3489F1}"/>
            </a:ext>
          </a:extLst>
        </xdr:cNvPr>
        <xdr:cNvSpPr txBox="1"/>
      </xdr:nvSpPr>
      <xdr:spPr>
        <a:xfrm>
          <a:off x="13521740537" y="107415262"/>
          <a:ext cx="6437079" cy="2728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b="1" u="sng"/>
            <a:t>הערות נוספות לסיום סיומת</a:t>
          </a:r>
        </a:p>
        <a:p>
          <a:pPr algn="r" rtl="1"/>
          <a:endParaRPr lang="he-IL" b="1" u="sng"/>
        </a:p>
        <a:p>
          <a:pPr algn="r" rtl="1"/>
          <a:r>
            <a:rPr lang="he-IL"/>
            <a:t>- בהתאם לתקן, אין להוון עלויות אשראי בתקופות ממושכות שבהן הישות משהה את הפיתוח הפעיל של הנכס הכשיר, משום שעלויות כאלה הן עלויות החזקת נכסים שהושלמו בחלקם. עם זאת, התקן קובע שאין להשהות את ההיוון בתקופה שבה הישות מבצעת עבודה טכנית מנהלתית מהותית או כאשר עיכוב זמני הוא חלק הכרחי מתהליך הכנת הנכס לשימושו המיועד או למכירתו. לדוגמה, חברה בונה גשר והבניה מתעכבת לתקופות ממושכות בשל מפלסי מים גבוהים. אם מפלסי מים גבוהים נפוצים במהלך תקופת ההקמה באותו אזור גיאוגרפי היוון יימשך.</a:t>
          </a:r>
        </a:p>
        <a:p>
          <a:pPr algn="r" rtl="1"/>
          <a:endParaRPr lang="he-IL" b="1" u="sng"/>
        </a:p>
        <a:p>
          <a:pPr algn="r" rtl="1"/>
          <a:r>
            <a:rPr lang="he-IL"/>
            <a:t>- בדרך כלל, נכס מוכן לשימוש המיועד או למכירה כאשר ההקמה הפיסית של הנכס הושלמה, אף אם עבודה מנהלתית שגרתית ייתכן שעדיין נמשכת. אם נותרו שינויים מזעריים בלבד, כגון עיצוב של מבנה לפי מפרט של הרוכש או המשתמש, הדבר מצביע על כך שבמהות כל הפעילויות הושלמו. כאשר ישות משלימה בחלקים את ההקמה של נכס כשיר, וכל חלק ניתן לשימוש בעוד ההקמה של החלקים האחרים נמשכת, יש להפסיק להוון עלויות אשראי על אותו חלק שהושלם.</a:t>
          </a:r>
        </a:p>
        <a:p>
          <a:pPr algn="r" rtl="1"/>
          <a:endParaRPr lang="he-IL" b="1" u="sng"/>
        </a:p>
        <a:p>
          <a:pPr algn="r" rtl="1"/>
          <a:r>
            <a:rPr lang="he-IL" b="1" u="sng"/>
            <a:t>בשורה התחתונה: אם נתת לי ברקס, את לא מקבלת היוון. </a:t>
          </a:r>
          <a:endParaRPr lang="en-US" b="1" u="sng"/>
        </a:p>
      </xdr:txBody>
    </xdr:sp>
    <xdr:clientData/>
  </xdr:twoCellAnchor>
  <xdr:twoCellAnchor editAs="oneCell">
    <xdr:from>
      <xdr:col>1</xdr:col>
      <xdr:colOff>620889</xdr:colOff>
      <xdr:row>239</xdr:row>
      <xdr:rowOff>159926</xdr:rowOff>
    </xdr:from>
    <xdr:to>
      <xdr:col>4</xdr:col>
      <xdr:colOff>628099</xdr:colOff>
      <xdr:row>246</xdr:row>
      <xdr:rowOff>172733</xdr:rowOff>
    </xdr:to>
    <xdr:pic>
      <xdr:nvPicPr>
        <xdr:cNvPr id="9" name="Picture 8">
          <a:extLst>
            <a:ext uri="{FF2B5EF4-FFF2-40B4-BE49-F238E27FC236}">
              <a16:creationId xmlns:a16="http://schemas.microsoft.com/office/drawing/2014/main" id="{2B99F1DA-E5AB-854C-88B3-B45F0E2DE016}"/>
            </a:ext>
          </a:extLst>
        </xdr:cNvPr>
        <xdr:cNvPicPr>
          <a:picLocks noChangeAspect="1"/>
        </xdr:cNvPicPr>
      </xdr:nvPicPr>
      <xdr:blipFill>
        <a:blip xmlns:r="http://schemas.openxmlformats.org/officeDocument/2006/relationships" r:embed="rId1"/>
        <a:stretch>
          <a:fillRect/>
        </a:stretch>
      </xdr:blipFill>
      <xdr:spPr>
        <a:xfrm>
          <a:off x="13509756140" y="44306230"/>
          <a:ext cx="2481639" cy="1438107"/>
        </a:xfrm>
        <a:prstGeom prst="rect">
          <a:avLst/>
        </a:prstGeom>
      </xdr:spPr>
    </xdr:pic>
    <xdr:clientData/>
  </xdr:twoCellAnchor>
  <xdr:twoCellAnchor>
    <xdr:from>
      <xdr:col>4</xdr:col>
      <xdr:colOff>538914</xdr:colOff>
      <xdr:row>169</xdr:row>
      <xdr:rowOff>8356</xdr:rowOff>
    </xdr:from>
    <xdr:to>
      <xdr:col>4</xdr:col>
      <xdr:colOff>714375</xdr:colOff>
      <xdr:row>172</xdr:row>
      <xdr:rowOff>183816</xdr:rowOff>
    </xdr:to>
    <xdr:sp macro="" textlink="">
      <xdr:nvSpPr>
        <xdr:cNvPr id="10" name="Left Brace 9">
          <a:extLst>
            <a:ext uri="{FF2B5EF4-FFF2-40B4-BE49-F238E27FC236}">
              <a16:creationId xmlns:a16="http://schemas.microsoft.com/office/drawing/2014/main" id="{4D333744-8519-1332-461A-827986EB18EC}"/>
            </a:ext>
          </a:extLst>
        </xdr:cNvPr>
        <xdr:cNvSpPr/>
      </xdr:nvSpPr>
      <xdr:spPr>
        <a:xfrm>
          <a:off x="13548347467" y="32272205"/>
          <a:ext cx="175461" cy="78957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628586</xdr:colOff>
      <xdr:row>325</xdr:row>
      <xdr:rowOff>21381</xdr:rowOff>
    </xdr:from>
    <xdr:to>
      <xdr:col>5</xdr:col>
      <xdr:colOff>632862</xdr:colOff>
      <xdr:row>327</xdr:row>
      <xdr:rowOff>89798</xdr:rowOff>
    </xdr:to>
    <xdr:cxnSp macro="">
      <xdr:nvCxnSpPr>
        <xdr:cNvPr id="12" name="Straight Arrow Connector 11">
          <a:extLst>
            <a:ext uri="{FF2B5EF4-FFF2-40B4-BE49-F238E27FC236}">
              <a16:creationId xmlns:a16="http://schemas.microsoft.com/office/drawing/2014/main" id="{D08ECDF6-4567-3DA3-E843-CCD78692E988}"/>
            </a:ext>
          </a:extLst>
        </xdr:cNvPr>
        <xdr:cNvCxnSpPr/>
      </xdr:nvCxnSpPr>
      <xdr:spPr>
        <a:xfrm>
          <a:off x="13516729731" y="61212290"/>
          <a:ext cx="4276" cy="478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401953</xdr:colOff>
      <xdr:row>325</xdr:row>
      <xdr:rowOff>51313</xdr:rowOff>
    </xdr:from>
    <xdr:to>
      <xdr:col>4</xdr:col>
      <xdr:colOff>735488</xdr:colOff>
      <xdr:row>327</xdr:row>
      <xdr:rowOff>111179</xdr:rowOff>
    </xdr:to>
    <xdr:cxnSp macro="">
      <xdr:nvCxnSpPr>
        <xdr:cNvPr id="13" name="Straight Arrow Connector 12">
          <a:extLst>
            <a:ext uri="{FF2B5EF4-FFF2-40B4-BE49-F238E27FC236}">
              <a16:creationId xmlns:a16="http://schemas.microsoft.com/office/drawing/2014/main" id="{D9B8BC5F-BEA8-E9D1-CAF8-86AF10F604C0}"/>
            </a:ext>
          </a:extLst>
        </xdr:cNvPr>
        <xdr:cNvCxnSpPr/>
      </xdr:nvCxnSpPr>
      <xdr:spPr>
        <a:xfrm>
          <a:off x="13517452391" y="61242222"/>
          <a:ext cx="333535" cy="4703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483199</xdr:colOff>
      <xdr:row>500</xdr:row>
      <xdr:rowOff>29933</xdr:rowOff>
    </xdr:from>
    <xdr:to>
      <xdr:col>6</xdr:col>
      <xdr:colOff>568721</xdr:colOff>
      <xdr:row>501</xdr:row>
      <xdr:rowOff>196700</xdr:rowOff>
    </xdr:to>
    <xdr:sp macro="" textlink="">
      <xdr:nvSpPr>
        <xdr:cNvPr id="15" name="Left Brace 14">
          <a:extLst>
            <a:ext uri="{FF2B5EF4-FFF2-40B4-BE49-F238E27FC236}">
              <a16:creationId xmlns:a16="http://schemas.microsoft.com/office/drawing/2014/main" id="{6396FB34-3D0B-8E81-D1F9-FAC37605C562}"/>
            </a:ext>
          </a:extLst>
        </xdr:cNvPr>
        <xdr:cNvSpPr/>
      </xdr:nvSpPr>
      <xdr:spPr>
        <a:xfrm>
          <a:off x="13515968586" y="91153502"/>
          <a:ext cx="85522" cy="37202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568721</xdr:colOff>
      <xdr:row>500</xdr:row>
      <xdr:rowOff>102626</xdr:rowOff>
    </xdr:from>
    <xdr:to>
      <xdr:col>7</xdr:col>
      <xdr:colOff>81247</xdr:colOff>
      <xdr:row>501</xdr:row>
      <xdr:rowOff>10690</xdr:rowOff>
    </xdr:to>
    <xdr:cxnSp macro="">
      <xdr:nvCxnSpPr>
        <xdr:cNvPr id="17" name="Straight Arrow Connector 16">
          <a:extLst>
            <a:ext uri="{FF2B5EF4-FFF2-40B4-BE49-F238E27FC236}">
              <a16:creationId xmlns:a16="http://schemas.microsoft.com/office/drawing/2014/main" id="{6718D938-277C-0CC9-A24A-B66CE0020DB0}"/>
            </a:ext>
          </a:extLst>
        </xdr:cNvPr>
        <xdr:cNvCxnSpPr>
          <a:stCxn id="15" idx="1"/>
        </xdr:cNvCxnSpPr>
      </xdr:nvCxnSpPr>
      <xdr:spPr>
        <a:xfrm flipH="1" flipV="1">
          <a:off x="13515630774" y="91226195"/>
          <a:ext cx="337812" cy="113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72694</xdr:colOff>
      <xdr:row>444</xdr:row>
      <xdr:rowOff>149663</xdr:rowOff>
    </xdr:from>
    <xdr:to>
      <xdr:col>8</xdr:col>
      <xdr:colOff>346364</xdr:colOff>
      <xdr:row>467</xdr:row>
      <xdr:rowOff>98350</xdr:rowOff>
    </xdr:to>
    <xdr:sp macro="" textlink="">
      <xdr:nvSpPr>
        <xdr:cNvPr id="18" name="Left Brace 17">
          <a:extLst>
            <a:ext uri="{FF2B5EF4-FFF2-40B4-BE49-F238E27FC236}">
              <a16:creationId xmlns:a16="http://schemas.microsoft.com/office/drawing/2014/main" id="{E73EE8A2-551B-349D-C21E-7E6083FC5E24}"/>
            </a:ext>
          </a:extLst>
        </xdr:cNvPr>
        <xdr:cNvSpPr/>
      </xdr:nvSpPr>
      <xdr:spPr>
        <a:xfrm>
          <a:off x="13514540370" y="79642256"/>
          <a:ext cx="273670" cy="4737912"/>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804121</xdr:colOff>
      <xdr:row>144</xdr:row>
      <xdr:rowOff>162739</xdr:rowOff>
    </xdr:from>
    <xdr:to>
      <xdr:col>5</xdr:col>
      <xdr:colOff>130830</xdr:colOff>
      <xdr:row>148</xdr:row>
      <xdr:rowOff>44674</xdr:rowOff>
    </xdr:to>
    <xdr:cxnSp macro="">
      <xdr:nvCxnSpPr>
        <xdr:cNvPr id="14" name="Straight Connector 13">
          <a:extLst>
            <a:ext uri="{FF2B5EF4-FFF2-40B4-BE49-F238E27FC236}">
              <a16:creationId xmlns:a16="http://schemas.microsoft.com/office/drawing/2014/main" id="{A099ED47-A559-781B-FF41-8B89C69410C8}"/>
            </a:ext>
          </a:extLst>
        </xdr:cNvPr>
        <xdr:cNvCxnSpPr/>
      </xdr:nvCxnSpPr>
      <xdr:spPr>
        <a:xfrm flipH="1">
          <a:off x="13536413065" y="29647161"/>
          <a:ext cx="979623" cy="72434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124448</xdr:colOff>
      <xdr:row>148</xdr:row>
      <xdr:rowOff>44674</xdr:rowOff>
    </xdr:from>
    <xdr:to>
      <xdr:col>5</xdr:col>
      <xdr:colOff>682865</xdr:colOff>
      <xdr:row>148</xdr:row>
      <xdr:rowOff>47865</xdr:rowOff>
    </xdr:to>
    <xdr:cxnSp macro="">
      <xdr:nvCxnSpPr>
        <xdr:cNvPr id="16" name="Straight Connector 15">
          <a:extLst>
            <a:ext uri="{FF2B5EF4-FFF2-40B4-BE49-F238E27FC236}">
              <a16:creationId xmlns:a16="http://schemas.microsoft.com/office/drawing/2014/main" id="{B8A8FDC4-AE43-1BC7-B8E2-6D03BDB771DA}"/>
            </a:ext>
          </a:extLst>
        </xdr:cNvPr>
        <xdr:cNvCxnSpPr/>
      </xdr:nvCxnSpPr>
      <xdr:spPr>
        <a:xfrm flipH="1">
          <a:off x="13535861030" y="30371508"/>
          <a:ext cx="558417"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142</xdr:row>
      <xdr:rowOff>207412</xdr:rowOff>
    </xdr:from>
    <xdr:to>
      <xdr:col>2</xdr:col>
      <xdr:colOff>791356</xdr:colOff>
      <xdr:row>145</xdr:row>
      <xdr:rowOff>213794</xdr:rowOff>
    </xdr:to>
    <xdr:sp macro="" textlink="">
      <xdr:nvSpPr>
        <xdr:cNvPr id="20" name="Right Brace 19">
          <a:extLst>
            <a:ext uri="{FF2B5EF4-FFF2-40B4-BE49-F238E27FC236}">
              <a16:creationId xmlns:a16="http://schemas.microsoft.com/office/drawing/2014/main" id="{6A584048-1F09-A0DF-51A6-7761566511EB}"/>
            </a:ext>
          </a:extLst>
        </xdr:cNvPr>
        <xdr:cNvSpPr/>
      </xdr:nvSpPr>
      <xdr:spPr>
        <a:xfrm>
          <a:off x="13538231910" y="29257864"/>
          <a:ext cx="118065" cy="644573"/>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670101</xdr:colOff>
      <xdr:row>146</xdr:row>
      <xdr:rowOff>121257</xdr:rowOff>
    </xdr:from>
    <xdr:to>
      <xdr:col>2</xdr:col>
      <xdr:colOff>807312</xdr:colOff>
      <xdr:row>146</xdr:row>
      <xdr:rowOff>124448</xdr:rowOff>
    </xdr:to>
    <xdr:cxnSp macro="">
      <xdr:nvCxnSpPr>
        <xdr:cNvPr id="21" name="Straight Connector 20">
          <a:extLst>
            <a:ext uri="{FF2B5EF4-FFF2-40B4-BE49-F238E27FC236}">
              <a16:creationId xmlns:a16="http://schemas.microsoft.com/office/drawing/2014/main" id="{7384A3D0-FF02-EE8E-030E-8528A57CC9FB}"/>
            </a:ext>
          </a:extLst>
        </xdr:cNvPr>
        <xdr:cNvCxnSpPr/>
      </xdr:nvCxnSpPr>
      <xdr:spPr>
        <a:xfrm flipH="1">
          <a:off x="13538215954" y="30026885"/>
          <a:ext cx="137211" cy="319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673291</xdr:colOff>
      <xdr:row>144</xdr:row>
      <xdr:rowOff>102111</xdr:rowOff>
    </xdr:from>
    <xdr:to>
      <xdr:col>2</xdr:col>
      <xdr:colOff>679673</xdr:colOff>
      <xdr:row>146</xdr:row>
      <xdr:rowOff>127638</xdr:rowOff>
    </xdr:to>
    <xdr:cxnSp macro="">
      <xdr:nvCxnSpPr>
        <xdr:cNvPr id="23" name="Straight Connector 22">
          <a:extLst>
            <a:ext uri="{FF2B5EF4-FFF2-40B4-BE49-F238E27FC236}">
              <a16:creationId xmlns:a16="http://schemas.microsoft.com/office/drawing/2014/main" id="{F1D059B7-C8E1-D658-BC20-7ED3877E4AAF}"/>
            </a:ext>
          </a:extLst>
        </xdr:cNvPr>
        <xdr:cNvCxnSpPr/>
      </xdr:nvCxnSpPr>
      <xdr:spPr>
        <a:xfrm>
          <a:off x="13538343593" y="29586533"/>
          <a:ext cx="6382" cy="4467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156357</xdr:colOff>
      <xdr:row>305</xdr:row>
      <xdr:rowOff>82965</xdr:rowOff>
    </xdr:from>
    <xdr:to>
      <xdr:col>8</xdr:col>
      <xdr:colOff>478644</xdr:colOff>
      <xdr:row>312</xdr:row>
      <xdr:rowOff>159548</xdr:rowOff>
    </xdr:to>
    <xdr:sp macro="" textlink="">
      <xdr:nvSpPr>
        <xdr:cNvPr id="25" name="Rectangle 24">
          <a:extLst>
            <a:ext uri="{FF2B5EF4-FFF2-40B4-BE49-F238E27FC236}">
              <a16:creationId xmlns:a16="http://schemas.microsoft.com/office/drawing/2014/main" id="{39AD2B15-530A-5188-A206-B3B187DA84A8}"/>
            </a:ext>
          </a:extLst>
        </xdr:cNvPr>
        <xdr:cNvSpPr/>
      </xdr:nvSpPr>
      <xdr:spPr>
        <a:xfrm>
          <a:off x="13533585879" y="62651206"/>
          <a:ext cx="1975201" cy="150613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מדוע?</a:t>
          </a:r>
          <a:r>
            <a:rPr lang="he-IL" sz="1100" baseline="0"/>
            <a:t> כי אם מדובר באשראי כללי, הרי הוא משרת את כל החברה; אנחנו רוצים להבחין ספציפית בערכים הכספיים ששירתו את הנכס הכשיר עצמו, ולשקלל אותם (לבטא אותם) במונחים שנתיים, שהרי גם שיעור ההיוון הכללי הוא שנתי. </a:t>
          </a:r>
          <a:endParaRPr lang="en-US" sz="1100"/>
        </a:p>
      </xdr:txBody>
    </xdr:sp>
    <xdr:clientData/>
  </xdr:twoCellAnchor>
  <xdr:twoCellAnchor editAs="oneCell">
    <xdr:from>
      <xdr:col>6</xdr:col>
      <xdr:colOff>226557</xdr:colOff>
      <xdr:row>366</xdr:row>
      <xdr:rowOff>135246</xdr:rowOff>
    </xdr:from>
    <xdr:to>
      <xdr:col>7</xdr:col>
      <xdr:colOff>246725</xdr:colOff>
      <xdr:row>369</xdr:row>
      <xdr:rowOff>148507</xdr:rowOff>
    </xdr:to>
    <xdr:pic>
      <xdr:nvPicPr>
        <xdr:cNvPr id="26" name="Picture 25">
          <a:extLst>
            <a:ext uri="{FF2B5EF4-FFF2-40B4-BE49-F238E27FC236}">
              <a16:creationId xmlns:a16="http://schemas.microsoft.com/office/drawing/2014/main" id="{0E9B91EE-E510-9315-FCA6-AE41FE6AD985}"/>
            </a:ext>
          </a:extLst>
        </xdr:cNvPr>
        <xdr:cNvPicPr>
          <a:picLocks noChangeAspect="1"/>
        </xdr:cNvPicPr>
      </xdr:nvPicPr>
      <xdr:blipFill>
        <a:blip xmlns:r="http://schemas.openxmlformats.org/officeDocument/2006/relationships" r:embed="rId2"/>
        <a:stretch>
          <a:fillRect/>
        </a:stretch>
      </xdr:blipFill>
      <xdr:spPr>
        <a:xfrm>
          <a:off x="13534644255" y="75655573"/>
          <a:ext cx="846625" cy="625924"/>
        </a:xfrm>
        <a:prstGeom prst="rect">
          <a:avLst/>
        </a:prstGeom>
      </xdr:spPr>
    </xdr:pic>
    <xdr:clientData/>
  </xdr:twoCellAnchor>
  <xdr:twoCellAnchor>
    <xdr:from>
      <xdr:col>6</xdr:col>
      <xdr:colOff>826456</xdr:colOff>
      <xdr:row>362</xdr:row>
      <xdr:rowOff>89347</xdr:rowOff>
    </xdr:from>
    <xdr:to>
      <xdr:col>8</xdr:col>
      <xdr:colOff>762638</xdr:colOff>
      <xdr:row>368</xdr:row>
      <xdr:rowOff>0</xdr:rowOff>
    </xdr:to>
    <xdr:sp macro="" textlink="">
      <xdr:nvSpPr>
        <xdr:cNvPr id="27" name="Rectangular Callout 26">
          <a:extLst>
            <a:ext uri="{FF2B5EF4-FFF2-40B4-BE49-F238E27FC236}">
              <a16:creationId xmlns:a16="http://schemas.microsoft.com/office/drawing/2014/main" id="{BFA923EC-D736-BD76-B589-60AE9C4E58D9}"/>
            </a:ext>
          </a:extLst>
        </xdr:cNvPr>
        <xdr:cNvSpPr/>
      </xdr:nvSpPr>
      <xdr:spPr>
        <a:xfrm>
          <a:off x="13533301885" y="74792789"/>
          <a:ext cx="1589096" cy="1135980"/>
        </a:xfrm>
        <a:prstGeom prst="wedgeRectCallout">
          <a:avLst>
            <a:gd name="adj1" fmla="val 50539"/>
            <a:gd name="adj2" fmla="val 6066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טיפ</a:t>
          </a:r>
          <a:r>
            <a:rPr lang="he-IL" sz="900" baseline="0"/>
            <a:t> מהדוקטור: אשראי יהיה ספציפי רק בהינתן אזכור מפורש וברור לקשר בין ההלוואה הנדונה לנכס. ניסוח כגון: ״לטובת הקמת הנכס החברה נטלה...״</a:t>
          </a:r>
        </a:p>
        <a:p>
          <a:pPr algn="r" rtl="1"/>
          <a:r>
            <a:rPr lang="he-IL" sz="900" baseline="0"/>
            <a:t>בהיעדר אזכור מפורש כזה, נתייחס לאשראי כלא ספציפי</a:t>
          </a:r>
          <a:endParaRPr lang="en-US" sz="900"/>
        </a:p>
      </xdr:txBody>
    </xdr:sp>
    <xdr:clientData/>
  </xdr:twoCellAnchor>
  <xdr:twoCellAnchor>
    <xdr:from>
      <xdr:col>5</xdr:col>
      <xdr:colOff>13093</xdr:colOff>
      <xdr:row>393</xdr:row>
      <xdr:rowOff>109106</xdr:rowOff>
    </xdr:from>
    <xdr:to>
      <xdr:col>5</xdr:col>
      <xdr:colOff>484433</xdr:colOff>
      <xdr:row>393</xdr:row>
      <xdr:rowOff>113470</xdr:rowOff>
    </xdr:to>
    <xdr:cxnSp macro="">
      <xdr:nvCxnSpPr>
        <xdr:cNvPr id="30" name="Straight Connector 29">
          <a:extLst>
            <a:ext uri="{FF2B5EF4-FFF2-40B4-BE49-F238E27FC236}">
              <a16:creationId xmlns:a16="http://schemas.microsoft.com/office/drawing/2014/main" id="{76155F88-28CF-99E7-BDD2-5D8F1C8B83C9}"/>
            </a:ext>
          </a:extLst>
        </xdr:cNvPr>
        <xdr:cNvCxnSpPr/>
      </xdr:nvCxnSpPr>
      <xdr:spPr>
        <a:xfrm flipH="1">
          <a:off x="13509657732" y="81834261"/>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475705</xdr:colOff>
      <xdr:row>393</xdr:row>
      <xdr:rowOff>100378</xdr:rowOff>
    </xdr:from>
    <xdr:to>
      <xdr:col>5</xdr:col>
      <xdr:colOff>488798</xdr:colOff>
      <xdr:row>398</xdr:row>
      <xdr:rowOff>74192</xdr:rowOff>
    </xdr:to>
    <xdr:cxnSp macro="">
      <xdr:nvCxnSpPr>
        <xdr:cNvPr id="31" name="Straight Connector 30">
          <a:extLst>
            <a:ext uri="{FF2B5EF4-FFF2-40B4-BE49-F238E27FC236}">
              <a16:creationId xmlns:a16="http://schemas.microsoft.com/office/drawing/2014/main" id="{18AF5A29-20ED-3EFD-8B1D-540AFAB52A8B}"/>
            </a:ext>
          </a:extLst>
        </xdr:cNvPr>
        <xdr:cNvCxnSpPr/>
      </xdr:nvCxnSpPr>
      <xdr:spPr>
        <a:xfrm flipH="1" flipV="1">
          <a:off x="13509653367" y="81825533"/>
          <a:ext cx="13093" cy="99941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13093</xdr:colOff>
      <xdr:row>398</xdr:row>
      <xdr:rowOff>74192</xdr:rowOff>
    </xdr:from>
    <xdr:to>
      <xdr:col>5</xdr:col>
      <xdr:colOff>484433</xdr:colOff>
      <xdr:row>398</xdr:row>
      <xdr:rowOff>78556</xdr:rowOff>
    </xdr:to>
    <xdr:cxnSp macro="">
      <xdr:nvCxnSpPr>
        <xdr:cNvPr id="34" name="Straight Connector 33">
          <a:extLst>
            <a:ext uri="{FF2B5EF4-FFF2-40B4-BE49-F238E27FC236}">
              <a16:creationId xmlns:a16="http://schemas.microsoft.com/office/drawing/2014/main" id="{1D42ED93-F3D1-E176-9B5F-4FE6BE131A05}"/>
            </a:ext>
          </a:extLst>
        </xdr:cNvPr>
        <xdr:cNvCxnSpPr/>
      </xdr:nvCxnSpPr>
      <xdr:spPr>
        <a:xfrm flipH="1">
          <a:off x="13509657732" y="82824948"/>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296770</xdr:colOff>
      <xdr:row>404</xdr:row>
      <xdr:rowOff>130927</xdr:rowOff>
    </xdr:from>
    <xdr:to>
      <xdr:col>7</xdr:col>
      <xdr:colOff>768110</xdr:colOff>
      <xdr:row>404</xdr:row>
      <xdr:rowOff>135291</xdr:rowOff>
    </xdr:to>
    <xdr:cxnSp macro="">
      <xdr:nvCxnSpPr>
        <xdr:cNvPr id="35" name="Straight Connector 34">
          <a:extLst>
            <a:ext uri="{FF2B5EF4-FFF2-40B4-BE49-F238E27FC236}">
              <a16:creationId xmlns:a16="http://schemas.microsoft.com/office/drawing/2014/main" id="{F57B42BE-27A8-7D44-0D0A-591C289A63ED}"/>
            </a:ext>
          </a:extLst>
        </xdr:cNvPr>
        <xdr:cNvCxnSpPr/>
      </xdr:nvCxnSpPr>
      <xdr:spPr>
        <a:xfrm flipH="1">
          <a:off x="13507724364" y="84112405"/>
          <a:ext cx="471340" cy="43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292405</xdr:colOff>
      <xdr:row>402</xdr:row>
      <xdr:rowOff>104742</xdr:rowOff>
    </xdr:from>
    <xdr:to>
      <xdr:col>7</xdr:col>
      <xdr:colOff>305498</xdr:colOff>
      <xdr:row>404</xdr:row>
      <xdr:rowOff>135291</xdr:rowOff>
    </xdr:to>
    <xdr:cxnSp macro="">
      <xdr:nvCxnSpPr>
        <xdr:cNvPr id="36" name="Straight Connector 35">
          <a:extLst>
            <a:ext uri="{FF2B5EF4-FFF2-40B4-BE49-F238E27FC236}">
              <a16:creationId xmlns:a16="http://schemas.microsoft.com/office/drawing/2014/main" id="{552EA7A7-9E13-B8AE-F2ED-D400247A3CD0}"/>
            </a:ext>
          </a:extLst>
        </xdr:cNvPr>
        <xdr:cNvCxnSpPr/>
      </xdr:nvCxnSpPr>
      <xdr:spPr>
        <a:xfrm flipV="1">
          <a:off x="13508186976" y="83675979"/>
          <a:ext cx="13093" cy="44079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803025</xdr:colOff>
      <xdr:row>402</xdr:row>
      <xdr:rowOff>91650</xdr:rowOff>
    </xdr:from>
    <xdr:to>
      <xdr:col>7</xdr:col>
      <xdr:colOff>296769</xdr:colOff>
      <xdr:row>402</xdr:row>
      <xdr:rowOff>100378</xdr:rowOff>
    </xdr:to>
    <xdr:cxnSp macro="">
      <xdr:nvCxnSpPr>
        <xdr:cNvPr id="38" name="Straight Connector 37">
          <a:extLst>
            <a:ext uri="{FF2B5EF4-FFF2-40B4-BE49-F238E27FC236}">
              <a16:creationId xmlns:a16="http://schemas.microsoft.com/office/drawing/2014/main" id="{6111F913-33D3-C646-CB83-C0BD54E34973}"/>
            </a:ext>
          </a:extLst>
        </xdr:cNvPr>
        <xdr:cNvCxnSpPr/>
      </xdr:nvCxnSpPr>
      <xdr:spPr>
        <a:xfrm flipH="1">
          <a:off x="13508195705" y="83662887"/>
          <a:ext cx="1968281" cy="87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D3BC5-AA3E-7F47-9FED-CFB1E5B2BBDA}">
  <dimension ref="A1:E30"/>
  <sheetViews>
    <sheetView rightToLeft="1" topLeftCell="A15" zoomScale="291" workbookViewId="0">
      <selection activeCell="A28" sqref="A28"/>
    </sheetView>
  </sheetViews>
  <sheetFormatPr baseColWidth="10" defaultRowHeight="16" x14ac:dyDescent="0.2"/>
  <cols>
    <col min="1" max="1" width="27" style="1" bestFit="1" customWidth="1"/>
    <col min="2" max="3" width="10.83203125" style="1"/>
    <col min="4" max="4" width="28.33203125" style="1" bestFit="1" customWidth="1"/>
    <col min="5" max="5" width="53.1640625" style="1" bestFit="1" customWidth="1"/>
    <col min="6" max="16384" width="10.83203125" style="1"/>
  </cols>
  <sheetData>
    <row r="1" spans="1:2" x14ac:dyDescent="0.2">
      <c r="A1" s="1" t="s">
        <v>2356</v>
      </c>
    </row>
    <row r="2" spans="1:2" x14ac:dyDescent="0.2">
      <c r="A2" s="1" t="s">
        <v>2357</v>
      </c>
    </row>
    <row r="3" spans="1:2" x14ac:dyDescent="0.2">
      <c r="A3" s="1" t="s">
        <v>0</v>
      </c>
    </row>
    <row r="4" spans="1:2" x14ac:dyDescent="0.2">
      <c r="A4" s="1" t="s">
        <v>1</v>
      </c>
    </row>
    <row r="5" spans="1:2" x14ac:dyDescent="0.2">
      <c r="A5" s="1" t="s">
        <v>2</v>
      </c>
    </row>
    <row r="6" spans="1:2" x14ac:dyDescent="0.2">
      <c r="A6" s="1" t="s">
        <v>3</v>
      </c>
    </row>
    <row r="8" spans="1:2" ht="17" thickBot="1" x14ac:dyDescent="0.25">
      <c r="A8" s="1" t="s">
        <v>4</v>
      </c>
    </row>
    <row r="9" spans="1:2" x14ac:dyDescent="0.2">
      <c r="A9" s="53" t="s">
        <v>5</v>
      </c>
      <c r="B9" s="25" t="s">
        <v>7</v>
      </c>
    </row>
    <row r="10" spans="1:2" x14ac:dyDescent="0.2">
      <c r="A10" s="26" t="s">
        <v>6</v>
      </c>
      <c r="B10" s="61" t="s">
        <v>8</v>
      </c>
    </row>
    <row r="11" spans="1:2" x14ac:dyDescent="0.2">
      <c r="A11" s="26" t="s">
        <v>9</v>
      </c>
      <c r="B11" s="61" t="s">
        <v>10</v>
      </c>
    </row>
    <row r="12" spans="1:2" ht="17" thickBot="1" x14ac:dyDescent="0.25">
      <c r="A12" s="28" t="s">
        <v>531</v>
      </c>
      <c r="B12" s="62" t="s">
        <v>11</v>
      </c>
    </row>
    <row r="14" spans="1:2" x14ac:dyDescent="0.2">
      <c r="A14" s="1" t="s">
        <v>12</v>
      </c>
    </row>
    <row r="15" spans="1:2" x14ac:dyDescent="0.2">
      <c r="A15" s="1" t="s">
        <v>13</v>
      </c>
    </row>
    <row r="17" spans="2:5" x14ac:dyDescent="0.2">
      <c r="B17" s="52" t="s">
        <v>424</v>
      </c>
      <c r="C17" s="52" t="s">
        <v>120</v>
      </c>
      <c r="D17" s="52" t="s">
        <v>425</v>
      </c>
      <c r="E17" s="52" t="s">
        <v>427</v>
      </c>
    </row>
    <row r="18" spans="2:5" x14ac:dyDescent="0.2">
      <c r="B18" s="50">
        <v>1</v>
      </c>
      <c r="C18" s="51"/>
      <c r="D18" s="50" t="s">
        <v>426</v>
      </c>
      <c r="E18" s="50" t="s">
        <v>428</v>
      </c>
    </row>
    <row r="19" spans="2:5" x14ac:dyDescent="0.2">
      <c r="B19" s="50">
        <v>2</v>
      </c>
      <c r="C19" s="51"/>
      <c r="D19" s="50" t="s">
        <v>429</v>
      </c>
      <c r="E19" s="50" t="s">
        <v>430</v>
      </c>
    </row>
    <row r="20" spans="2:5" x14ac:dyDescent="0.2">
      <c r="B20" s="50">
        <v>3</v>
      </c>
      <c r="C20" s="51"/>
      <c r="D20" s="50" t="s">
        <v>429</v>
      </c>
      <c r="E20" s="50" t="s">
        <v>536</v>
      </c>
    </row>
    <row r="21" spans="2:5" x14ac:dyDescent="0.2">
      <c r="B21" s="50">
        <v>4</v>
      </c>
      <c r="C21" s="51"/>
      <c r="D21" s="50" t="s">
        <v>537</v>
      </c>
      <c r="E21" s="50" t="s">
        <v>538</v>
      </c>
    </row>
    <row r="22" spans="2:5" ht="79" customHeight="1" x14ac:dyDescent="0.2">
      <c r="B22" s="50">
        <v>5</v>
      </c>
      <c r="C22" s="51"/>
      <c r="D22" s="70" t="s">
        <v>609</v>
      </c>
      <c r="E22" s="50"/>
    </row>
    <row r="23" spans="2:5" x14ac:dyDescent="0.2">
      <c r="B23" s="50">
        <v>6</v>
      </c>
      <c r="C23" s="51"/>
      <c r="D23" s="50" t="s">
        <v>539</v>
      </c>
      <c r="E23" s="50"/>
    </row>
    <row r="24" spans="2:5" x14ac:dyDescent="0.2">
      <c r="B24" s="50">
        <v>7</v>
      </c>
      <c r="C24" s="51"/>
      <c r="D24" s="50" t="s">
        <v>539</v>
      </c>
      <c r="E24" s="50" t="s">
        <v>1341</v>
      </c>
    </row>
    <row r="25" spans="2:5" x14ac:dyDescent="0.2">
      <c r="B25" s="50">
        <v>8</v>
      </c>
      <c r="C25" s="51"/>
      <c r="D25" s="50" t="s">
        <v>539</v>
      </c>
      <c r="E25" s="50" t="s">
        <v>1342</v>
      </c>
    </row>
    <row r="26" spans="2:5" x14ac:dyDescent="0.2">
      <c r="B26" s="50">
        <v>9</v>
      </c>
      <c r="C26" s="51"/>
      <c r="D26" s="50" t="s">
        <v>6</v>
      </c>
      <c r="E26" s="50" t="s">
        <v>1713</v>
      </c>
    </row>
    <row r="27" spans="2:5" x14ac:dyDescent="0.2">
      <c r="B27" s="50">
        <v>10</v>
      </c>
      <c r="C27" s="51"/>
      <c r="D27" s="50" t="s">
        <v>1709</v>
      </c>
      <c r="E27" s="50" t="s">
        <v>1710</v>
      </c>
    </row>
    <row r="28" spans="2:5" x14ac:dyDescent="0.2">
      <c r="B28" s="50">
        <v>11</v>
      </c>
      <c r="C28" s="51"/>
      <c r="D28" s="50" t="s">
        <v>1711</v>
      </c>
      <c r="E28" s="50" t="s">
        <v>1495</v>
      </c>
    </row>
    <row r="29" spans="2:5" x14ac:dyDescent="0.2">
      <c r="B29" s="50">
        <v>12</v>
      </c>
      <c r="C29" s="51"/>
      <c r="D29" s="50" t="s">
        <v>1712</v>
      </c>
      <c r="E29" s="50" t="s">
        <v>1496</v>
      </c>
    </row>
    <row r="30" spans="2:5" x14ac:dyDescent="0.2">
      <c r="B30" s="50">
        <v>13</v>
      </c>
      <c r="C30" s="51"/>
      <c r="D30" s="50" t="s">
        <v>2196</v>
      </c>
      <c r="E30" s="50"/>
    </row>
  </sheetData>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5AC2DB-4A39-9240-89AC-D47A96FD0A5D}">
  <dimension ref="A1:K602"/>
  <sheetViews>
    <sheetView rightToLeft="1" topLeftCell="A598" zoomScale="374" workbookViewId="0">
      <selection activeCell="B292" sqref="B292"/>
    </sheetView>
  </sheetViews>
  <sheetFormatPr baseColWidth="10" defaultRowHeight="16" x14ac:dyDescent="0.2"/>
  <cols>
    <col min="1" max="16384" width="10.83203125" style="1"/>
  </cols>
  <sheetData>
    <row r="1" spans="1:8" x14ac:dyDescent="0.2">
      <c r="A1" s="6" t="s">
        <v>2938</v>
      </c>
      <c r="B1" s="6"/>
      <c r="C1" s="6"/>
      <c r="D1" s="6"/>
      <c r="E1" s="6"/>
      <c r="F1" s="6"/>
      <c r="G1" s="34">
        <v>45658</v>
      </c>
      <c r="H1" s="6" t="s">
        <v>8</v>
      </c>
    </row>
    <row r="2" spans="1:8" ht="17" thickBot="1" x14ac:dyDescent="0.25"/>
    <row r="3" spans="1:8" ht="17" thickBot="1" x14ac:dyDescent="0.25">
      <c r="A3" s="57" t="s">
        <v>2939</v>
      </c>
      <c r="B3" s="67"/>
      <c r="C3" s="67"/>
      <c r="D3" s="67"/>
      <c r="E3" s="67"/>
      <c r="F3" s="67"/>
      <c r="G3" s="67"/>
      <c r="H3" s="132"/>
    </row>
    <row r="4" spans="1:8" ht="17" thickBot="1" x14ac:dyDescent="0.25">
      <c r="A4" s="3"/>
      <c r="B4" s="3"/>
      <c r="C4" s="3"/>
      <c r="D4" s="3"/>
      <c r="E4" s="3"/>
      <c r="F4" s="3"/>
      <c r="G4" s="3"/>
      <c r="H4" s="3"/>
    </row>
    <row r="5" spans="1:8" x14ac:dyDescent="0.2">
      <c r="A5" s="22" t="s">
        <v>2944</v>
      </c>
      <c r="B5" s="369"/>
      <c r="C5" s="369"/>
      <c r="D5" s="369"/>
      <c r="E5" s="369"/>
      <c r="F5" s="369"/>
      <c r="G5" s="369"/>
      <c r="H5" s="370"/>
    </row>
    <row r="6" spans="1:8" x14ac:dyDescent="0.2">
      <c r="A6" s="26" t="s">
        <v>2940</v>
      </c>
      <c r="B6" s="3"/>
      <c r="C6" s="3"/>
      <c r="D6" s="3"/>
      <c r="E6" s="3"/>
      <c r="F6" s="3"/>
      <c r="G6" s="3"/>
      <c r="H6" s="371"/>
    </row>
    <row r="7" spans="1:8" x14ac:dyDescent="0.2">
      <c r="A7" s="26" t="s">
        <v>2941</v>
      </c>
      <c r="B7" s="3"/>
      <c r="C7" s="3"/>
      <c r="D7" s="3"/>
      <c r="E7" s="3"/>
      <c r="F7" s="3"/>
      <c r="G7" s="3"/>
      <c r="H7" s="371"/>
    </row>
    <row r="8" spans="1:8" x14ac:dyDescent="0.2">
      <c r="A8" s="26" t="s">
        <v>2942</v>
      </c>
      <c r="B8" s="3"/>
      <c r="C8" s="3"/>
      <c r="D8" s="3"/>
      <c r="E8" s="3"/>
      <c r="F8" s="3"/>
      <c r="G8" s="3"/>
      <c r="H8" s="371"/>
    </row>
    <row r="9" spans="1:8" x14ac:dyDescent="0.2">
      <c r="A9" s="26" t="s">
        <v>2943</v>
      </c>
      <c r="B9" s="3"/>
      <c r="C9" s="3"/>
      <c r="D9" s="3"/>
      <c r="E9" s="3"/>
      <c r="F9" s="3"/>
      <c r="G9" s="3"/>
      <c r="H9" s="371"/>
    </row>
    <row r="10" spans="1:8" x14ac:dyDescent="0.2">
      <c r="A10" s="124"/>
      <c r="B10" s="3"/>
      <c r="C10" s="3"/>
      <c r="D10" s="3"/>
      <c r="E10" s="3"/>
      <c r="F10" s="3"/>
      <c r="G10" s="3"/>
      <c r="H10" s="371"/>
    </row>
    <row r="11" spans="1:8" x14ac:dyDescent="0.2">
      <c r="A11" s="26" t="s">
        <v>2945</v>
      </c>
      <c r="B11" s="3"/>
      <c r="C11" s="3"/>
      <c r="D11" s="3"/>
      <c r="E11" s="3"/>
      <c r="F11" s="3"/>
      <c r="G11" s="3"/>
      <c r="H11" s="371"/>
    </row>
    <row r="12" spans="1:8" x14ac:dyDescent="0.2">
      <c r="A12" s="26" t="s">
        <v>2946</v>
      </c>
      <c r="B12" s="3"/>
      <c r="C12" s="3"/>
      <c r="D12" s="3"/>
      <c r="E12" s="3"/>
      <c r="F12" s="3"/>
      <c r="G12" s="3"/>
      <c r="H12" s="371"/>
    </row>
    <row r="13" spans="1:8" x14ac:dyDescent="0.2">
      <c r="A13" s="26" t="s">
        <v>2947</v>
      </c>
      <c r="B13" s="3"/>
      <c r="C13" s="3"/>
      <c r="D13" s="3"/>
      <c r="E13" s="3"/>
      <c r="F13" s="3"/>
      <c r="G13" s="3"/>
      <c r="H13" s="371"/>
    </row>
    <row r="14" spans="1:8" x14ac:dyDescent="0.2">
      <c r="A14" s="26"/>
      <c r="H14" s="36"/>
    </row>
    <row r="15" spans="1:8" x14ac:dyDescent="0.2">
      <c r="A15" s="372" t="s">
        <v>2948</v>
      </c>
      <c r="H15" s="36"/>
    </row>
    <row r="16" spans="1:8" x14ac:dyDescent="0.2">
      <c r="A16" s="372" t="s">
        <v>2949</v>
      </c>
      <c r="H16" s="36"/>
    </row>
    <row r="17" spans="1:8" ht="17" thickBot="1" x14ac:dyDescent="0.25">
      <c r="A17" s="373" t="s">
        <v>2950</v>
      </c>
      <c r="B17" s="29"/>
      <c r="C17" s="29"/>
      <c r="D17" s="29"/>
      <c r="E17" s="29"/>
      <c r="F17" s="29"/>
      <c r="G17" s="29"/>
      <c r="H17" s="37"/>
    </row>
    <row r="105" spans="1:8" x14ac:dyDescent="0.2">
      <c r="A105" s="6" t="s">
        <v>1471</v>
      </c>
      <c r="B105" s="6"/>
      <c r="C105" s="6"/>
      <c r="D105" s="6"/>
      <c r="E105" s="6"/>
      <c r="F105" s="6"/>
      <c r="G105" s="6"/>
      <c r="H105" s="6"/>
    </row>
    <row r="106" spans="1:8" x14ac:dyDescent="0.2">
      <c r="A106" s="1" t="s">
        <v>1465</v>
      </c>
    </row>
    <row r="107" spans="1:8" x14ac:dyDescent="0.2">
      <c r="A107" s="1" t="s">
        <v>1504</v>
      </c>
    </row>
    <row r="108" spans="1:8" x14ac:dyDescent="0.2">
      <c r="A108" s="1" t="s">
        <v>2951</v>
      </c>
    </row>
    <row r="110" spans="1:8" x14ac:dyDescent="0.2">
      <c r="A110" s="1" t="s">
        <v>120</v>
      </c>
      <c r="B110" s="1" t="s">
        <v>1466</v>
      </c>
    </row>
    <row r="111" spans="1:8" x14ac:dyDescent="0.2">
      <c r="A111" s="7">
        <v>44287</v>
      </c>
      <c r="B111" s="8">
        <v>600000</v>
      </c>
    </row>
    <row r="112" spans="1:8" x14ac:dyDescent="0.2">
      <c r="A112" s="7">
        <v>44378</v>
      </c>
      <c r="B112" s="8">
        <v>400000</v>
      </c>
    </row>
    <row r="113" spans="1:2" x14ac:dyDescent="0.2">
      <c r="A113" s="7">
        <v>44470</v>
      </c>
      <c r="B113" s="8">
        <v>200000</v>
      </c>
    </row>
    <row r="114" spans="1:2" x14ac:dyDescent="0.2">
      <c r="A114" s="1" t="s">
        <v>198</v>
      </c>
      <c r="B114" s="8">
        <f>SUM(B111:B113)</f>
        <v>1200000</v>
      </c>
    </row>
    <row r="116" spans="1:2" x14ac:dyDescent="0.2">
      <c r="A116" s="1" t="s">
        <v>1467</v>
      </c>
    </row>
    <row r="117" spans="1:2" x14ac:dyDescent="0.2">
      <c r="A117" s="1" t="s">
        <v>1468</v>
      </c>
    </row>
    <row r="118" spans="1:2" x14ac:dyDescent="0.2">
      <c r="A118" s="1" t="s">
        <v>1469</v>
      </c>
    </row>
    <row r="120" spans="1:2" x14ac:dyDescent="0.2">
      <c r="A120" s="1" t="s">
        <v>876</v>
      </c>
    </row>
    <row r="121" spans="1:2" x14ac:dyDescent="0.2">
      <c r="A121" s="1" t="s">
        <v>1470</v>
      </c>
    </row>
    <row r="123" spans="1:2" x14ac:dyDescent="0.2">
      <c r="A123" s="3" t="s">
        <v>1505</v>
      </c>
    </row>
    <row r="125" spans="1:2" x14ac:dyDescent="0.2">
      <c r="A125" s="1" t="s">
        <v>1506</v>
      </c>
    </row>
    <row r="126" spans="1:2" x14ac:dyDescent="0.2">
      <c r="A126" s="1" t="s">
        <v>1541</v>
      </c>
    </row>
    <row r="127" spans="1:2" x14ac:dyDescent="0.2">
      <c r="A127" s="1" t="s">
        <v>1542</v>
      </c>
    </row>
    <row r="128" spans="1:2" x14ac:dyDescent="0.2">
      <c r="A128" s="1" t="s">
        <v>1507</v>
      </c>
    </row>
    <row r="129" spans="1:7" x14ac:dyDescent="0.2">
      <c r="A129" s="1" t="s">
        <v>1508</v>
      </c>
    </row>
    <row r="130" spans="1:7" x14ac:dyDescent="0.2">
      <c r="A130" s="1" t="s">
        <v>1509</v>
      </c>
    </row>
    <row r="131" spans="1:7" x14ac:dyDescent="0.2">
      <c r="A131" s="1" t="s">
        <v>1510</v>
      </c>
    </row>
    <row r="133" spans="1:7" x14ac:dyDescent="0.2">
      <c r="A133" s="1" t="s">
        <v>1543</v>
      </c>
    </row>
    <row r="135" spans="1:7" x14ac:dyDescent="0.2">
      <c r="B135" s="1" t="s">
        <v>1544</v>
      </c>
      <c r="D135" s="8">
        <v>6000000</v>
      </c>
    </row>
    <row r="136" spans="1:7" x14ac:dyDescent="0.2">
      <c r="B136" s="1" t="s">
        <v>1545</v>
      </c>
      <c r="D136" s="42">
        <v>0.06</v>
      </c>
    </row>
    <row r="137" spans="1:7" x14ac:dyDescent="0.2">
      <c r="B137" s="1" t="s">
        <v>1546</v>
      </c>
      <c r="D137" s="1">
        <f>9/12</f>
        <v>0.75</v>
      </c>
      <c r="E137" s="1" t="s">
        <v>1549</v>
      </c>
    </row>
    <row r="138" spans="1:7" x14ac:dyDescent="0.2">
      <c r="B138" s="1" t="s">
        <v>1547</v>
      </c>
      <c r="D138" s="79">
        <f>D135*D136*D137</f>
        <v>270000</v>
      </c>
      <c r="G138" s="1" t="s">
        <v>1548</v>
      </c>
    </row>
    <row r="140" spans="1:7" x14ac:dyDescent="0.2">
      <c r="A140" s="1" t="s">
        <v>1550</v>
      </c>
    </row>
    <row r="141" spans="1:7" x14ac:dyDescent="0.2">
      <c r="F141" s="33" t="s">
        <v>1554</v>
      </c>
      <c r="G141" s="33"/>
    </row>
    <row r="142" spans="1:7" x14ac:dyDescent="0.2">
      <c r="B142" s="1" t="s">
        <v>1551</v>
      </c>
      <c r="D142" s="10">
        <f>D135</f>
        <v>6000000</v>
      </c>
      <c r="F142" s="1" t="s">
        <v>120</v>
      </c>
      <c r="G142" s="1" t="s">
        <v>1466</v>
      </c>
    </row>
    <row r="143" spans="1:7" ht="17" thickBot="1" x14ac:dyDescent="0.25">
      <c r="B143" s="1" t="s">
        <v>1552</v>
      </c>
      <c r="D143" s="10">
        <v>-600000</v>
      </c>
      <c r="F143" s="7">
        <v>44287</v>
      </c>
      <c r="G143" s="8">
        <v>600000</v>
      </c>
    </row>
    <row r="144" spans="1:7" ht="17" thickBot="1" x14ac:dyDescent="0.25">
      <c r="B144" s="1" t="s">
        <v>1553</v>
      </c>
      <c r="D144" s="139">
        <f>D142+D143</f>
        <v>5400000</v>
      </c>
      <c r="F144" s="7">
        <v>44378</v>
      </c>
      <c r="G144" s="8">
        <v>400000</v>
      </c>
    </row>
    <row r="145" spans="1:9" x14ac:dyDescent="0.2">
      <c r="B145" s="1" t="s">
        <v>1555</v>
      </c>
      <c r="D145" s="43">
        <f>D144*3%*3/12</f>
        <v>40500</v>
      </c>
      <c r="E145" s="1" t="s">
        <v>1556</v>
      </c>
      <c r="F145" s="7">
        <v>44470</v>
      </c>
      <c r="G145" s="8">
        <v>200000</v>
      </c>
    </row>
    <row r="146" spans="1:9" ht="17" thickBot="1" x14ac:dyDescent="0.25">
      <c r="B146" s="1" t="s">
        <v>1557</v>
      </c>
      <c r="D146" s="10">
        <f>-G144</f>
        <v>-400000</v>
      </c>
      <c r="G146" s="8">
        <f>SUM(G143:G145)</f>
        <v>1200000</v>
      </c>
    </row>
    <row r="147" spans="1:9" ht="17" thickBot="1" x14ac:dyDescent="0.25">
      <c r="B147" s="1" t="s">
        <v>1558</v>
      </c>
      <c r="D147" s="139">
        <f>SUM(D144:D146)</f>
        <v>5040500</v>
      </c>
    </row>
    <row r="148" spans="1:9" x14ac:dyDescent="0.2">
      <c r="B148" s="1" t="s">
        <v>1559</v>
      </c>
      <c r="D148" s="43">
        <f>D147*3%*3/12</f>
        <v>37803.75</v>
      </c>
      <c r="G148" s="1" t="s">
        <v>2952</v>
      </c>
    </row>
    <row r="149" spans="1:9" ht="17" thickBot="1" x14ac:dyDescent="0.25">
      <c r="B149" s="1" t="s">
        <v>1560</v>
      </c>
      <c r="D149" s="10">
        <f>-G145</f>
        <v>-200000</v>
      </c>
      <c r="G149" s="1" t="s">
        <v>2953</v>
      </c>
    </row>
    <row r="150" spans="1:9" ht="17" thickBot="1" x14ac:dyDescent="0.25">
      <c r="B150" s="1" t="s">
        <v>1561</v>
      </c>
      <c r="D150" s="139">
        <f>SUM(D147:D149)</f>
        <v>4878303.75</v>
      </c>
      <c r="I150" s="1" t="s">
        <v>2954</v>
      </c>
    </row>
    <row r="151" spans="1:9" ht="17" thickBot="1" x14ac:dyDescent="0.25">
      <c r="B151" s="1" t="s">
        <v>1562</v>
      </c>
      <c r="D151" s="43">
        <f>D150*3%*3/12</f>
        <v>36587.278124999997</v>
      </c>
      <c r="G151" s="1" t="s">
        <v>2955</v>
      </c>
    </row>
    <row r="152" spans="1:9" ht="17" thickBot="1" x14ac:dyDescent="0.25">
      <c r="B152" s="1" t="s">
        <v>1563</v>
      </c>
      <c r="D152" s="139">
        <f>SUM(D150:D151)</f>
        <v>4914891.0281250002</v>
      </c>
      <c r="F152" s="374"/>
      <c r="I152" s="1" t="s">
        <v>2956</v>
      </c>
    </row>
    <row r="153" spans="1:9" x14ac:dyDescent="0.2">
      <c r="D153" s="8"/>
    </row>
    <row r="154" spans="1:9" x14ac:dyDescent="0.2">
      <c r="A154" s="1" t="s">
        <v>1564</v>
      </c>
      <c r="D154" s="8"/>
    </row>
    <row r="155" spans="1:9" x14ac:dyDescent="0.2">
      <c r="D155" s="8"/>
    </row>
    <row r="156" spans="1:9" x14ac:dyDescent="0.2">
      <c r="A156" s="1" t="s">
        <v>2957</v>
      </c>
      <c r="B156" s="1" t="s">
        <v>1565</v>
      </c>
      <c r="D156" s="8">
        <f>D138</f>
        <v>270000</v>
      </c>
      <c r="E156" s="1" t="s">
        <v>2958</v>
      </c>
      <c r="I156" s="1" t="s">
        <v>2964</v>
      </c>
    </row>
    <row r="157" spans="1:9" ht="17" thickBot="1" x14ac:dyDescent="0.25">
      <c r="A157" s="1" t="s">
        <v>2959</v>
      </c>
      <c r="B157" s="1" t="s">
        <v>1566</v>
      </c>
      <c r="D157" s="10">
        <f>-D145-D148-D151</f>
        <v>-114891.028125</v>
      </c>
      <c r="E157" s="38"/>
      <c r="F157" s="38"/>
      <c r="G157" s="38" t="s">
        <v>1567</v>
      </c>
      <c r="H157" s="1" t="s">
        <v>2960</v>
      </c>
    </row>
    <row r="158" spans="1:9" ht="17" thickBot="1" x14ac:dyDescent="0.25">
      <c r="A158" s="1" t="s">
        <v>2961</v>
      </c>
      <c r="B158" s="1" t="s">
        <v>2962</v>
      </c>
      <c r="D158" s="139">
        <f>D156+D157</f>
        <v>155108.97187499999</v>
      </c>
      <c r="E158" s="1" t="s">
        <v>2963</v>
      </c>
    </row>
    <row r="159" spans="1:9" x14ac:dyDescent="0.2">
      <c r="D159" s="8"/>
    </row>
    <row r="160" spans="1:9" x14ac:dyDescent="0.2">
      <c r="A160" s="1" t="s">
        <v>1568</v>
      </c>
      <c r="D160" s="8"/>
    </row>
    <row r="161" spans="1:6" x14ac:dyDescent="0.2">
      <c r="A161" s="1" t="s">
        <v>1569</v>
      </c>
      <c r="D161" s="8"/>
    </row>
    <row r="162" spans="1:6" x14ac:dyDescent="0.2">
      <c r="A162" s="1" t="s">
        <v>1570</v>
      </c>
      <c r="D162" s="8"/>
    </row>
    <row r="163" spans="1:6" x14ac:dyDescent="0.2">
      <c r="A163" s="1" t="s">
        <v>1571</v>
      </c>
      <c r="D163" s="8"/>
    </row>
    <row r="164" spans="1:6" x14ac:dyDescent="0.2">
      <c r="A164" s="1" t="s">
        <v>1572</v>
      </c>
      <c r="D164" s="8"/>
    </row>
    <row r="165" spans="1:6" x14ac:dyDescent="0.2">
      <c r="A165" s="1" t="s">
        <v>1573</v>
      </c>
      <c r="D165" s="8"/>
    </row>
    <row r="166" spans="1:6" x14ac:dyDescent="0.2">
      <c r="A166" s="1" t="s">
        <v>1574</v>
      </c>
      <c r="D166" s="8"/>
    </row>
    <row r="167" spans="1:6" x14ac:dyDescent="0.2">
      <c r="D167" s="8"/>
    </row>
    <row r="168" spans="1:6" x14ac:dyDescent="0.2">
      <c r="A168" s="1" t="s">
        <v>1575</v>
      </c>
      <c r="D168" s="8"/>
    </row>
    <row r="169" spans="1:6" x14ac:dyDescent="0.2">
      <c r="D169" s="8"/>
    </row>
    <row r="170" spans="1:6" x14ac:dyDescent="0.2">
      <c r="B170" s="1" t="s">
        <v>1576</v>
      </c>
      <c r="D170" s="8"/>
      <c r="E170" s="8">
        <f>G143</f>
        <v>600000</v>
      </c>
    </row>
    <row r="171" spans="1:6" x14ac:dyDescent="0.2">
      <c r="B171" s="1" t="s">
        <v>1577</v>
      </c>
      <c r="D171" s="8"/>
      <c r="E171" s="8">
        <f>G144</f>
        <v>400000</v>
      </c>
      <c r="F171" s="1" t="s">
        <v>1581</v>
      </c>
    </row>
    <row r="172" spans="1:6" x14ac:dyDescent="0.2">
      <c r="B172" s="1" t="s">
        <v>1578</v>
      </c>
      <c r="D172" s="8"/>
      <c r="E172" s="8">
        <f>G145</f>
        <v>200000</v>
      </c>
    </row>
    <row r="173" spans="1:6" ht="17" thickBot="1" x14ac:dyDescent="0.25">
      <c r="B173" s="1" t="s">
        <v>1579</v>
      </c>
      <c r="D173" s="8"/>
      <c r="E173" s="10">
        <f>D158</f>
        <v>155108.97187499999</v>
      </c>
    </row>
    <row r="174" spans="1:6" ht="17" thickBot="1" x14ac:dyDescent="0.25">
      <c r="B174" s="1" t="s">
        <v>1580</v>
      </c>
      <c r="D174" s="8"/>
      <c r="E174" s="138">
        <f>SUM(E170:E173)</f>
        <v>1355108.971875</v>
      </c>
    </row>
    <row r="175" spans="1:6" x14ac:dyDescent="0.2">
      <c r="D175" s="8"/>
      <c r="E175" s="8"/>
    </row>
    <row r="176" spans="1:6" x14ac:dyDescent="0.2">
      <c r="A176" s="1" t="s">
        <v>1026</v>
      </c>
      <c r="B176" s="1" t="s">
        <v>2965</v>
      </c>
      <c r="D176" s="8"/>
      <c r="E176" s="8"/>
    </row>
    <row r="177" spans="2:5" x14ac:dyDescent="0.2">
      <c r="B177" s="1" t="s">
        <v>2966</v>
      </c>
      <c r="D177" s="8"/>
      <c r="E177" s="8"/>
    </row>
    <row r="178" spans="2:5" x14ac:dyDescent="0.2">
      <c r="B178" s="1" t="s">
        <v>2967</v>
      </c>
      <c r="D178" s="8"/>
      <c r="E178" s="8"/>
    </row>
    <row r="179" spans="2:5" x14ac:dyDescent="0.2">
      <c r="D179" s="8"/>
      <c r="E179" s="8"/>
    </row>
    <row r="216" spans="1:8" x14ac:dyDescent="0.2">
      <c r="A216" s="6" t="s">
        <v>1472</v>
      </c>
      <c r="B216" s="6"/>
      <c r="C216" s="6"/>
      <c r="D216" s="6"/>
      <c r="E216" s="6"/>
      <c r="F216" s="6"/>
      <c r="G216" s="6"/>
      <c r="H216" s="6"/>
    </row>
    <row r="218" spans="1:8" x14ac:dyDescent="0.2">
      <c r="A218" s="1" t="s">
        <v>2968</v>
      </c>
    </row>
    <row r="219" spans="1:8" ht="17" thickBot="1" x14ac:dyDescent="0.25"/>
    <row r="220" spans="1:8" x14ac:dyDescent="0.2">
      <c r="A220" s="16" t="s">
        <v>1476</v>
      </c>
      <c r="B220" s="16" t="s">
        <v>2969</v>
      </c>
      <c r="C220" s="16" t="s">
        <v>1474</v>
      </c>
      <c r="E220" s="22" t="s">
        <v>2970</v>
      </c>
      <c r="F220" s="369"/>
      <c r="G220" s="369"/>
      <c r="H220" s="370"/>
    </row>
    <row r="221" spans="1:8" x14ac:dyDescent="0.2">
      <c r="A221" s="55" t="s">
        <v>1473</v>
      </c>
      <c r="B221" s="10">
        <v>2000000</v>
      </c>
      <c r="C221" s="10">
        <v>50000</v>
      </c>
      <c r="E221" s="124" t="s">
        <v>2971</v>
      </c>
      <c r="F221" s="3"/>
      <c r="G221" s="3"/>
      <c r="H221" s="371"/>
    </row>
    <row r="222" spans="1:8" x14ac:dyDescent="0.2">
      <c r="A222" s="55" t="s">
        <v>1475</v>
      </c>
      <c r="B222" s="10">
        <v>1000000</v>
      </c>
      <c r="C222" s="10">
        <v>28000</v>
      </c>
      <c r="E222" s="124" t="s">
        <v>2972</v>
      </c>
      <c r="F222" s="3"/>
      <c r="G222" s="3"/>
      <c r="H222" s="371"/>
    </row>
    <row r="223" spans="1:8" x14ac:dyDescent="0.2">
      <c r="A223" s="55" t="s">
        <v>1477</v>
      </c>
      <c r="B223" s="10">
        <v>2400000</v>
      </c>
      <c r="C223" s="10">
        <v>30000</v>
      </c>
      <c r="E223" s="124" t="s">
        <v>2973</v>
      </c>
      <c r="F223" s="3"/>
      <c r="G223" s="3"/>
      <c r="H223" s="371"/>
    </row>
    <row r="224" spans="1:8" ht="17" thickBot="1" x14ac:dyDescent="0.25">
      <c r="E224" s="125" t="s">
        <v>2974</v>
      </c>
      <c r="F224" s="376"/>
      <c r="G224" s="376"/>
      <c r="H224" s="377"/>
    </row>
    <row r="225" spans="1:1" x14ac:dyDescent="0.2">
      <c r="A225" s="1" t="s">
        <v>1478</v>
      </c>
    </row>
    <row r="227" spans="1:1" x14ac:dyDescent="0.2">
      <c r="A227" s="3" t="s">
        <v>1505</v>
      </c>
    </row>
    <row r="228" spans="1:1" x14ac:dyDescent="0.2">
      <c r="A228" s="1" t="s">
        <v>1582</v>
      </c>
    </row>
    <row r="229" spans="1:1" x14ac:dyDescent="0.2">
      <c r="A229" s="1" t="s">
        <v>1583</v>
      </c>
    </row>
    <row r="231" spans="1:1" x14ac:dyDescent="0.2">
      <c r="A231" s="1" t="s">
        <v>1511</v>
      </c>
    </row>
    <row r="232" spans="1:1" x14ac:dyDescent="0.2">
      <c r="A232" s="1" t="s">
        <v>1512</v>
      </c>
    </row>
    <row r="233" spans="1:1" x14ac:dyDescent="0.2">
      <c r="A233" s="1" t="s">
        <v>1513</v>
      </c>
    </row>
    <row r="235" spans="1:1" x14ac:dyDescent="0.2">
      <c r="A235" s="1" t="s">
        <v>1514</v>
      </c>
    </row>
    <row r="236" spans="1:1" x14ac:dyDescent="0.2">
      <c r="A236" s="1" t="s">
        <v>1584</v>
      </c>
    </row>
    <row r="237" spans="1:1" x14ac:dyDescent="0.2">
      <c r="A237" s="1" t="s">
        <v>1585</v>
      </c>
    </row>
    <row r="238" spans="1:1" x14ac:dyDescent="0.2">
      <c r="A238" s="1" t="s">
        <v>1586</v>
      </c>
    </row>
    <row r="239" spans="1:1" x14ac:dyDescent="0.2">
      <c r="A239" s="1" t="s">
        <v>1515</v>
      </c>
    </row>
    <row r="240" spans="1:1" x14ac:dyDescent="0.2">
      <c r="A240" s="1" t="s">
        <v>1516</v>
      </c>
    </row>
    <row r="249" spans="1:7" x14ac:dyDescent="0.2">
      <c r="A249" s="1" t="s">
        <v>1593</v>
      </c>
      <c r="B249" s="165" t="s">
        <v>1589</v>
      </c>
      <c r="C249" s="165" t="s">
        <v>1590</v>
      </c>
      <c r="D249" s="165" t="s">
        <v>1591</v>
      </c>
      <c r="E249" s="96"/>
      <c r="F249" s="96"/>
      <c r="G249" s="96"/>
    </row>
    <row r="250" spans="1:7" x14ac:dyDescent="0.2">
      <c r="A250" s="16" t="s">
        <v>1476</v>
      </c>
      <c r="B250" s="160" t="s">
        <v>199</v>
      </c>
      <c r="C250" s="246" t="s">
        <v>1587</v>
      </c>
      <c r="D250" s="160" t="s">
        <v>1588</v>
      </c>
      <c r="E250" s="96"/>
      <c r="F250" s="96"/>
      <c r="G250" s="160" t="s">
        <v>1474</v>
      </c>
    </row>
    <row r="251" spans="1:7" x14ac:dyDescent="0.2">
      <c r="A251" s="55" t="s">
        <v>1473</v>
      </c>
      <c r="B251" s="80">
        <v>2000000</v>
      </c>
      <c r="C251" s="165">
        <v>1</v>
      </c>
      <c r="D251" s="80">
        <f>B251*C251</f>
        <v>2000000</v>
      </c>
      <c r="E251" s="96"/>
      <c r="F251" s="96"/>
      <c r="G251" s="80">
        <v>50000</v>
      </c>
    </row>
    <row r="252" spans="1:7" x14ac:dyDescent="0.2">
      <c r="A252" s="55" t="s">
        <v>1475</v>
      </c>
      <c r="B252" s="80">
        <v>1000000</v>
      </c>
      <c r="C252" s="165">
        <f>9/12</f>
        <v>0.75</v>
      </c>
      <c r="D252" s="80">
        <f>B252*C252</f>
        <v>750000</v>
      </c>
      <c r="E252" s="96"/>
      <c r="F252" s="96"/>
      <c r="G252" s="80">
        <v>28000</v>
      </c>
    </row>
    <row r="253" spans="1:7" ht="17" thickBot="1" x14ac:dyDescent="0.25">
      <c r="A253" s="55" t="s">
        <v>1477</v>
      </c>
      <c r="B253" s="80">
        <v>2400000</v>
      </c>
      <c r="C253" s="165">
        <f>1/12</f>
        <v>8.3333333333333329E-2</v>
      </c>
      <c r="D253" s="80">
        <f t="shared" ref="D253" si="0">B253*C253</f>
        <v>200000</v>
      </c>
      <c r="E253" s="96"/>
      <c r="F253" s="96"/>
      <c r="G253" s="80">
        <v>30000</v>
      </c>
    </row>
    <row r="254" spans="1:7" ht="17" thickBot="1" x14ac:dyDescent="0.25">
      <c r="B254" s="93" t="s">
        <v>1594</v>
      </c>
      <c r="C254" s="93"/>
      <c r="D254" s="375">
        <f>SUM(D251:D253)</f>
        <v>2950000</v>
      </c>
      <c r="E254" s="96"/>
      <c r="F254" s="96" t="s">
        <v>1592</v>
      </c>
      <c r="G254" s="375">
        <f>SUM(G251:G253)</f>
        <v>108000</v>
      </c>
    </row>
    <row r="256" spans="1:7" x14ac:dyDescent="0.2">
      <c r="A256" s="1" t="s">
        <v>1595</v>
      </c>
    </row>
    <row r="258" spans="1:7" x14ac:dyDescent="0.2">
      <c r="A258" s="418">
        <v>108000</v>
      </c>
      <c r="B258" s="393"/>
      <c r="C258" s="393"/>
      <c r="D258" s="417" t="s">
        <v>1598</v>
      </c>
      <c r="E258" s="393" t="s">
        <v>1596</v>
      </c>
      <c r="F258" s="393"/>
      <c r="G258" s="393"/>
    </row>
    <row r="259" spans="1:7" x14ac:dyDescent="0.2">
      <c r="A259" s="419">
        <v>2950000</v>
      </c>
      <c r="B259" s="391"/>
      <c r="C259" s="391"/>
      <c r="D259" s="417"/>
      <c r="E259" s="391" t="s">
        <v>1597</v>
      </c>
      <c r="F259" s="391"/>
      <c r="G259" s="391"/>
    </row>
    <row r="261" spans="1:7" x14ac:dyDescent="0.2">
      <c r="A261" s="3" t="s">
        <v>1599</v>
      </c>
      <c r="B261" s="3"/>
      <c r="C261" s="140">
        <f>G254/D254</f>
        <v>3.6610169491525422E-2</v>
      </c>
      <c r="D261" s="2" t="s">
        <v>1598</v>
      </c>
    </row>
    <row r="274" spans="1:8" x14ac:dyDescent="0.2">
      <c r="A274" s="6" t="s">
        <v>1479</v>
      </c>
      <c r="B274" s="6"/>
      <c r="C274" s="6"/>
      <c r="D274" s="6"/>
      <c r="E274" s="6"/>
      <c r="F274" s="6"/>
      <c r="G274" s="6"/>
      <c r="H274" s="6"/>
    </row>
    <row r="276" spans="1:8" x14ac:dyDescent="0.2">
      <c r="A276" s="1" t="s">
        <v>1600</v>
      </c>
    </row>
    <row r="278" spans="1:8" x14ac:dyDescent="0.2">
      <c r="B278" s="1" t="s">
        <v>261</v>
      </c>
    </row>
    <row r="279" spans="1:8" x14ac:dyDescent="0.2">
      <c r="A279" s="16" t="s">
        <v>120</v>
      </c>
      <c r="B279" s="16" t="s">
        <v>1480</v>
      </c>
      <c r="C279" s="16" t="s">
        <v>1481</v>
      </c>
      <c r="D279" s="16"/>
    </row>
    <row r="280" spans="1:8" x14ac:dyDescent="0.2">
      <c r="A280" s="7">
        <v>44197</v>
      </c>
      <c r="B280" s="10">
        <v>1200000</v>
      </c>
      <c r="C280" s="1" t="s">
        <v>1482</v>
      </c>
    </row>
    <row r="281" spans="1:8" x14ac:dyDescent="0.2">
      <c r="A281" s="7">
        <v>44287</v>
      </c>
      <c r="B281" s="10">
        <v>500000</v>
      </c>
      <c r="C281" s="1" t="s">
        <v>1483</v>
      </c>
    </row>
    <row r="282" spans="1:8" x14ac:dyDescent="0.2">
      <c r="A282" s="7">
        <v>44470</v>
      </c>
      <c r="B282" s="10">
        <v>-400000</v>
      </c>
      <c r="C282" s="1" t="s">
        <v>1484</v>
      </c>
    </row>
    <row r="283" spans="1:8" x14ac:dyDescent="0.2">
      <c r="A283" s="7">
        <v>44531</v>
      </c>
      <c r="B283" s="10">
        <v>50000</v>
      </c>
      <c r="C283" s="1" t="s">
        <v>1485</v>
      </c>
    </row>
    <row r="285" spans="1:8" x14ac:dyDescent="0.2">
      <c r="A285" s="1" t="s">
        <v>1486</v>
      </c>
    </row>
    <row r="287" spans="1:8" x14ac:dyDescent="0.2">
      <c r="A287" s="3" t="s">
        <v>1505</v>
      </c>
    </row>
    <row r="289" spans="1:8" x14ac:dyDescent="0.2">
      <c r="A289" s="1" t="s">
        <v>1517</v>
      </c>
    </row>
    <row r="290" spans="1:8" x14ac:dyDescent="0.2">
      <c r="A290" s="1" t="s">
        <v>1518</v>
      </c>
    </row>
    <row r="291" spans="1:8" x14ac:dyDescent="0.2">
      <c r="A291" s="1" t="s">
        <v>1519</v>
      </c>
    </row>
    <row r="292" spans="1:8" x14ac:dyDescent="0.2">
      <c r="A292" s="1" t="s">
        <v>1520</v>
      </c>
    </row>
    <row r="293" spans="1:8" x14ac:dyDescent="0.2">
      <c r="A293" s="1" t="s">
        <v>2975</v>
      </c>
    </row>
    <row r="294" spans="1:8" x14ac:dyDescent="0.2">
      <c r="A294" s="1" t="s">
        <v>1521</v>
      </c>
    </row>
    <row r="295" spans="1:8" x14ac:dyDescent="0.2">
      <c r="A295" s="1" t="s">
        <v>1522</v>
      </c>
    </row>
    <row r="296" spans="1:8" x14ac:dyDescent="0.2">
      <c r="A296" s="1" t="s">
        <v>1523</v>
      </c>
    </row>
    <row r="297" spans="1:8" x14ac:dyDescent="0.2">
      <c r="A297" s="1" t="s">
        <v>2976</v>
      </c>
    </row>
    <row r="298" spans="1:8" x14ac:dyDescent="0.2">
      <c r="A298" s="1" t="s">
        <v>1524</v>
      </c>
    </row>
    <row r="299" spans="1:8" ht="17" thickBot="1" x14ac:dyDescent="0.25"/>
    <row r="300" spans="1:8" x14ac:dyDescent="0.2">
      <c r="A300" s="53" t="s">
        <v>1518</v>
      </c>
      <c r="B300" s="23"/>
      <c r="C300" s="23"/>
      <c r="D300" s="23"/>
      <c r="E300" s="23"/>
      <c r="F300" s="23"/>
      <c r="G300" s="23"/>
      <c r="H300" s="35"/>
    </row>
    <row r="301" spans="1:8" ht="17" thickBot="1" x14ac:dyDescent="0.25">
      <c r="A301" s="28" t="s">
        <v>1519</v>
      </c>
      <c r="B301" s="29"/>
      <c r="C301" s="29"/>
      <c r="D301" s="29"/>
      <c r="E301" s="29"/>
      <c r="F301" s="29"/>
      <c r="G301" s="29"/>
      <c r="H301" s="37"/>
    </row>
    <row r="303" spans="1:8" x14ac:dyDescent="0.2">
      <c r="A303" s="1" t="s">
        <v>1601</v>
      </c>
    </row>
    <row r="304" spans="1:8" x14ac:dyDescent="0.2">
      <c r="A304" s="1" t="s">
        <v>1602</v>
      </c>
    </row>
    <row r="305" spans="1:6" x14ac:dyDescent="0.2">
      <c r="A305" s="1" t="s">
        <v>1603</v>
      </c>
    </row>
    <row r="306" spans="1:6" x14ac:dyDescent="0.2">
      <c r="A306" s="1" t="s">
        <v>1604</v>
      </c>
    </row>
    <row r="308" spans="1:6" x14ac:dyDescent="0.2">
      <c r="A308" s="1" t="s">
        <v>2977</v>
      </c>
    </row>
    <row r="309" spans="1:6" x14ac:dyDescent="0.2">
      <c r="A309" s="1" t="s">
        <v>2978</v>
      </c>
    </row>
    <row r="312" spans="1:6" x14ac:dyDescent="0.2">
      <c r="B312" s="2" t="s">
        <v>1589</v>
      </c>
      <c r="C312" s="2"/>
      <c r="D312" s="2"/>
      <c r="E312" s="2" t="s">
        <v>1590</v>
      </c>
      <c r="F312" s="2" t="s">
        <v>1591</v>
      </c>
    </row>
    <row r="313" spans="1:6" x14ac:dyDescent="0.2">
      <c r="B313" s="2"/>
      <c r="C313" s="165"/>
      <c r="D313" s="165"/>
      <c r="E313" s="2" t="s">
        <v>1608</v>
      </c>
      <c r="F313" s="2"/>
    </row>
    <row r="314" spans="1:6" x14ac:dyDescent="0.2">
      <c r="B314" s="2" t="s">
        <v>1605</v>
      </c>
      <c r="C314" s="165"/>
      <c r="D314" s="165"/>
      <c r="E314" s="2" t="s">
        <v>1606</v>
      </c>
      <c r="F314" s="2" t="s">
        <v>199</v>
      </c>
    </row>
    <row r="315" spans="1:6" x14ac:dyDescent="0.2">
      <c r="A315" s="16" t="s">
        <v>120</v>
      </c>
      <c r="B315" s="9" t="s">
        <v>1480</v>
      </c>
      <c r="C315" s="246" t="s">
        <v>1481</v>
      </c>
      <c r="D315" s="246"/>
      <c r="E315" s="9" t="s">
        <v>1607</v>
      </c>
      <c r="F315" s="9" t="s">
        <v>1610</v>
      </c>
    </row>
    <row r="316" spans="1:6" x14ac:dyDescent="0.2">
      <c r="A316" s="7">
        <v>44197</v>
      </c>
      <c r="B316" s="173">
        <v>1200000</v>
      </c>
      <c r="C316" s="265" t="s">
        <v>2979</v>
      </c>
      <c r="D316" s="265"/>
      <c r="E316" s="96">
        <f>11/12</f>
        <v>0.91666666666666663</v>
      </c>
      <c r="F316" s="173">
        <f>B316*E316</f>
        <v>1100000</v>
      </c>
    </row>
    <row r="317" spans="1:6" x14ac:dyDescent="0.2">
      <c r="A317" s="7">
        <v>44287</v>
      </c>
      <c r="B317" s="173">
        <v>500000</v>
      </c>
      <c r="C317" s="265" t="s">
        <v>1483</v>
      </c>
      <c r="D317" s="265"/>
      <c r="E317" s="165">
        <f>9/12</f>
        <v>0.75</v>
      </c>
      <c r="F317" s="173">
        <f>B317*E317</f>
        <v>375000</v>
      </c>
    </row>
    <row r="318" spans="1:6" x14ac:dyDescent="0.2">
      <c r="A318" s="7">
        <v>44470</v>
      </c>
      <c r="B318" s="173">
        <v>-400000</v>
      </c>
      <c r="C318" s="265" t="s">
        <v>1484</v>
      </c>
      <c r="D318" s="265"/>
      <c r="E318" s="165">
        <f>3/12</f>
        <v>0.25</v>
      </c>
      <c r="F318" s="173">
        <f>B318*E318</f>
        <v>-100000</v>
      </c>
    </row>
    <row r="319" spans="1:6" ht="52" thickBot="1" x14ac:dyDescent="0.25">
      <c r="A319" s="7">
        <v>44531</v>
      </c>
      <c r="B319" s="173">
        <v>50000</v>
      </c>
      <c r="C319" s="265" t="s">
        <v>1485</v>
      </c>
      <c r="D319" s="265"/>
      <c r="E319" s="378" t="s">
        <v>1609</v>
      </c>
      <c r="F319" s="380"/>
    </row>
    <row r="320" spans="1:6" ht="17" thickBot="1" x14ac:dyDescent="0.25">
      <c r="B320" s="93"/>
      <c r="C320" s="93"/>
      <c r="D320" s="93"/>
      <c r="E320" s="93" t="s">
        <v>198</v>
      </c>
      <c r="F320" s="379">
        <f>SUM(F316:F318)</f>
        <v>1375000</v>
      </c>
    </row>
    <row r="322" spans="1:6" x14ac:dyDescent="0.2">
      <c r="A322" s="1" t="s">
        <v>1611</v>
      </c>
    </row>
    <row r="324" spans="1:6" x14ac:dyDescent="0.2">
      <c r="A324" s="3" t="s">
        <v>1612</v>
      </c>
    </row>
    <row r="325" spans="1:6" x14ac:dyDescent="0.2">
      <c r="D325" s="14">
        <f>C261*F320</f>
        <v>50338.983050847455</v>
      </c>
      <c r="F325" s="1" t="s">
        <v>1613</v>
      </c>
    </row>
    <row r="329" spans="1:6" x14ac:dyDescent="0.2">
      <c r="E329" s="1" t="s">
        <v>1616</v>
      </c>
      <c r="F329" s="1" t="s">
        <v>1614</v>
      </c>
    </row>
    <row r="330" spans="1:6" x14ac:dyDescent="0.2">
      <c r="F330" s="1" t="s">
        <v>1615</v>
      </c>
    </row>
    <row r="332" spans="1:6" x14ac:dyDescent="0.2">
      <c r="A332" s="3" t="s">
        <v>1617</v>
      </c>
    </row>
    <row r="333" spans="1:6" x14ac:dyDescent="0.2">
      <c r="D333" s="10">
        <f>G254</f>
        <v>108000</v>
      </c>
      <c r="E333" s="1" t="s">
        <v>1618</v>
      </c>
    </row>
    <row r="334" spans="1:6" ht="17" thickBot="1" x14ac:dyDescent="0.25"/>
    <row r="335" spans="1:6" ht="17" thickBot="1" x14ac:dyDescent="0.25">
      <c r="A335" s="3" t="s">
        <v>1619</v>
      </c>
      <c r="B335" s="3"/>
      <c r="C335" s="3"/>
      <c r="D335" s="141">
        <f>D325</f>
        <v>50338.983050847455</v>
      </c>
      <c r="E335" s="3" t="s">
        <v>1620</v>
      </c>
    </row>
    <row r="356" spans="1:8" x14ac:dyDescent="0.2">
      <c r="A356" s="6" t="s">
        <v>2980</v>
      </c>
      <c r="B356" s="6"/>
      <c r="C356" s="6"/>
      <c r="D356" s="6"/>
      <c r="E356" s="6"/>
      <c r="F356" s="6"/>
      <c r="G356" s="6"/>
      <c r="H356" s="6"/>
    </row>
    <row r="358" spans="1:8" x14ac:dyDescent="0.2">
      <c r="A358" s="1" t="s">
        <v>2981</v>
      </c>
    </row>
    <row r="360" spans="1:8" x14ac:dyDescent="0.2">
      <c r="A360" s="16" t="s">
        <v>120</v>
      </c>
      <c r="B360" s="16" t="s">
        <v>1621</v>
      </c>
    </row>
    <row r="361" spans="1:8" x14ac:dyDescent="0.2">
      <c r="A361" s="7">
        <v>44562</v>
      </c>
      <c r="B361" s="8">
        <v>100000</v>
      </c>
    </row>
    <row r="362" spans="1:8" x14ac:dyDescent="0.2">
      <c r="A362" s="7">
        <v>44652</v>
      </c>
      <c r="B362" s="8">
        <v>20000</v>
      </c>
    </row>
    <row r="363" spans="1:8" x14ac:dyDescent="0.2">
      <c r="A363" s="7">
        <v>44743</v>
      </c>
      <c r="B363" s="8">
        <v>40000</v>
      </c>
    </row>
    <row r="364" spans="1:8" x14ac:dyDescent="0.2">
      <c r="A364" s="7">
        <v>44926</v>
      </c>
      <c r="B364" s="8">
        <v>500000</v>
      </c>
    </row>
    <row r="366" spans="1:8" x14ac:dyDescent="0.2">
      <c r="A366" s="1" t="s">
        <v>1487</v>
      </c>
    </row>
    <row r="367" spans="1:8" x14ac:dyDescent="0.2">
      <c r="A367" s="1" t="s">
        <v>1488</v>
      </c>
    </row>
    <row r="369" spans="1:2" x14ac:dyDescent="0.2">
      <c r="A369" s="1" t="s">
        <v>1622</v>
      </c>
    </row>
    <row r="370" spans="1:2" x14ac:dyDescent="0.2">
      <c r="B370" s="1" t="s">
        <v>1489</v>
      </c>
    </row>
    <row r="371" spans="1:2" x14ac:dyDescent="0.2">
      <c r="B371" s="1" t="s">
        <v>1490</v>
      </c>
    </row>
    <row r="373" spans="1:2" x14ac:dyDescent="0.2">
      <c r="B373" s="1" t="s">
        <v>1491</v>
      </c>
    </row>
    <row r="374" spans="1:2" x14ac:dyDescent="0.2">
      <c r="B374" s="1" t="s">
        <v>1492</v>
      </c>
    </row>
    <row r="375" spans="1:2" x14ac:dyDescent="0.2">
      <c r="B375" s="1" t="s">
        <v>1493</v>
      </c>
    </row>
    <row r="377" spans="1:2" x14ac:dyDescent="0.2">
      <c r="A377" s="1" t="s">
        <v>876</v>
      </c>
    </row>
    <row r="378" spans="1:2" x14ac:dyDescent="0.2">
      <c r="A378" s="1" t="s">
        <v>1494</v>
      </c>
    </row>
    <row r="380" spans="1:2" x14ac:dyDescent="0.2">
      <c r="A380" s="3" t="s">
        <v>2982</v>
      </c>
    </row>
    <row r="382" spans="1:2" x14ac:dyDescent="0.2">
      <c r="A382" s="1" t="s">
        <v>2983</v>
      </c>
    </row>
    <row r="383" spans="1:2" x14ac:dyDescent="0.2">
      <c r="A383" s="1" t="s">
        <v>2984</v>
      </c>
    </row>
    <row r="385" spans="1:10" ht="51" x14ac:dyDescent="0.2">
      <c r="C385" s="382" t="s">
        <v>2987</v>
      </c>
      <c r="D385" s="382" t="s">
        <v>2988</v>
      </c>
      <c r="F385" s="381" t="s">
        <v>2991</v>
      </c>
      <c r="G385" s="382" t="s">
        <v>2990</v>
      </c>
    </row>
    <row r="386" spans="1:10" x14ac:dyDescent="0.2">
      <c r="B386" s="1" t="s">
        <v>2985</v>
      </c>
      <c r="C386" s="14">
        <f>70000*1</f>
        <v>70000</v>
      </c>
      <c r="D386" s="14">
        <f>70000*8%</f>
        <v>5600</v>
      </c>
      <c r="F386" s="7">
        <v>44562</v>
      </c>
      <c r="G386" s="14">
        <f>(100000-60000)*1</f>
        <v>40000</v>
      </c>
    </row>
    <row r="387" spans="1:10" x14ac:dyDescent="0.2">
      <c r="B387" s="1" t="s">
        <v>2986</v>
      </c>
      <c r="C387" s="14">
        <f>100000*3/12</f>
        <v>25000</v>
      </c>
      <c r="D387" s="14">
        <f>100000*6%*(3/12)</f>
        <v>1500</v>
      </c>
      <c r="F387" s="7">
        <v>44652</v>
      </c>
      <c r="G387" s="14">
        <f>20000*9/12</f>
        <v>15000</v>
      </c>
    </row>
    <row r="388" spans="1:10" x14ac:dyDescent="0.2">
      <c r="B388" s="1" t="s">
        <v>198</v>
      </c>
      <c r="C388" s="383">
        <f>SUM(C386:C387)</f>
        <v>95000</v>
      </c>
      <c r="D388" s="383">
        <f>SUM(D386:D387)</f>
        <v>7100</v>
      </c>
      <c r="F388" s="7">
        <v>44743</v>
      </c>
      <c r="G388" s="14">
        <f>40000*6/12</f>
        <v>20000</v>
      </c>
    </row>
    <row r="389" spans="1:10" x14ac:dyDescent="0.2">
      <c r="F389" s="7">
        <v>44926</v>
      </c>
      <c r="G389" s="14">
        <f>500000*0</f>
        <v>0</v>
      </c>
    </row>
    <row r="390" spans="1:10" x14ac:dyDescent="0.2">
      <c r="B390" s="1" t="s">
        <v>2989</v>
      </c>
      <c r="D390" s="384">
        <f>D388/C388</f>
        <v>7.4736842105263157E-2</v>
      </c>
      <c r="F390" s="1" t="s">
        <v>198</v>
      </c>
      <c r="G390" s="383">
        <f>SUM(G386:G389)</f>
        <v>75000</v>
      </c>
    </row>
    <row r="392" spans="1:10" x14ac:dyDescent="0.2">
      <c r="B392" s="1" t="s">
        <v>2992</v>
      </c>
      <c r="E392" s="14">
        <f>D390*G390</f>
        <v>5605.2631578947367</v>
      </c>
      <c r="G392" s="1" t="s">
        <v>2993</v>
      </c>
    </row>
    <row r="393" spans="1:10" x14ac:dyDescent="0.2">
      <c r="B393" s="1" t="s">
        <v>2994</v>
      </c>
      <c r="E393" s="14">
        <f>D388</f>
        <v>7100</v>
      </c>
    </row>
    <row r="394" spans="1:10" x14ac:dyDescent="0.2">
      <c r="B394" s="1" t="s">
        <v>2995</v>
      </c>
      <c r="E394" s="385">
        <f>E392</f>
        <v>5605.2631578947367</v>
      </c>
    </row>
    <row r="396" spans="1:10" x14ac:dyDescent="0.2">
      <c r="A396" s="1" t="s">
        <v>2996</v>
      </c>
    </row>
    <row r="398" spans="1:10" x14ac:dyDescent="0.2">
      <c r="B398" s="1" t="s">
        <v>2997</v>
      </c>
      <c r="E398" s="14">
        <v>6000</v>
      </c>
    </row>
    <row r="399" spans="1:10" x14ac:dyDescent="0.2">
      <c r="B399" s="1" t="s">
        <v>2998</v>
      </c>
      <c r="E399" s="14">
        <f>E394</f>
        <v>5605.2631578947367</v>
      </c>
    </row>
    <row r="400" spans="1:10" x14ac:dyDescent="0.2">
      <c r="B400" s="1" t="s">
        <v>2999</v>
      </c>
      <c r="E400" s="387">
        <f>E398+E399</f>
        <v>11605.263157894737</v>
      </c>
      <c r="F400" s="3" t="s">
        <v>3000</v>
      </c>
      <c r="I400" s="16" t="s">
        <v>120</v>
      </c>
      <c r="J400" s="16" t="s">
        <v>1621</v>
      </c>
    </row>
    <row r="401" spans="1:10" x14ac:dyDescent="0.2">
      <c r="I401" s="7">
        <v>44562</v>
      </c>
      <c r="J401" s="8">
        <v>100000</v>
      </c>
    </row>
    <row r="402" spans="1:10" x14ac:dyDescent="0.2">
      <c r="A402" s="1" t="s">
        <v>3001</v>
      </c>
      <c r="I402" s="7">
        <v>44652</v>
      </c>
      <c r="J402" s="8">
        <v>20000</v>
      </c>
    </row>
    <row r="403" spans="1:10" x14ac:dyDescent="0.2">
      <c r="B403" s="1" t="s">
        <v>3002</v>
      </c>
      <c r="E403" s="14">
        <v>660000</v>
      </c>
      <c r="I403" s="7">
        <v>44743</v>
      </c>
      <c r="J403" s="8">
        <v>40000</v>
      </c>
    </row>
    <row r="404" spans="1:10" x14ac:dyDescent="0.2">
      <c r="B404" s="1" t="s">
        <v>3003</v>
      </c>
      <c r="E404" s="388">
        <f>E400</f>
        <v>11605.263157894737</v>
      </c>
      <c r="I404" s="7">
        <v>44926</v>
      </c>
      <c r="J404" s="8">
        <v>500000</v>
      </c>
    </row>
    <row r="405" spans="1:10" x14ac:dyDescent="0.2">
      <c r="B405" s="1" t="s">
        <v>3004</v>
      </c>
      <c r="E405" s="389">
        <f>E403+E404</f>
        <v>671605.26315789472</v>
      </c>
      <c r="F405" s="3" t="s">
        <v>3000</v>
      </c>
      <c r="I405" s="1" t="s">
        <v>198</v>
      </c>
      <c r="J405" s="46">
        <f>SUM(J401:J404)</f>
        <v>660000</v>
      </c>
    </row>
    <row r="411" spans="1:10" x14ac:dyDescent="0.2">
      <c r="A411" s="3" t="s">
        <v>3005</v>
      </c>
    </row>
    <row r="413" spans="1:10" x14ac:dyDescent="0.2">
      <c r="A413" s="1" t="s">
        <v>1525</v>
      </c>
    </row>
    <row r="414" spans="1:10" x14ac:dyDescent="0.2">
      <c r="A414" s="1" t="s">
        <v>1526</v>
      </c>
    </row>
    <row r="415" spans="1:10" x14ac:dyDescent="0.2">
      <c r="A415" s="1" t="s">
        <v>1527</v>
      </c>
    </row>
    <row r="416" spans="1:10" x14ac:dyDescent="0.2">
      <c r="A416" s="1" t="s">
        <v>1528</v>
      </c>
    </row>
    <row r="417" spans="1:8" x14ac:dyDescent="0.2">
      <c r="A417" s="1" t="s">
        <v>1529</v>
      </c>
    </row>
    <row r="418" spans="1:8" x14ac:dyDescent="0.2">
      <c r="A418" s="1" t="s">
        <v>1530</v>
      </c>
    </row>
    <row r="419" spans="1:8" x14ac:dyDescent="0.2">
      <c r="A419" s="1" t="s">
        <v>1531</v>
      </c>
    </row>
    <row r="420" spans="1:8" x14ac:dyDescent="0.2">
      <c r="A420" s="1" t="s">
        <v>1532</v>
      </c>
    </row>
    <row r="421" spans="1:8" x14ac:dyDescent="0.2">
      <c r="A421" s="1" t="s">
        <v>1533</v>
      </c>
    </row>
    <row r="422" spans="1:8" x14ac:dyDescent="0.2">
      <c r="A422" s="1" t="s">
        <v>1534</v>
      </c>
    </row>
    <row r="423" spans="1:8" x14ac:dyDescent="0.2">
      <c r="A423" s="1" t="s">
        <v>1535</v>
      </c>
    </row>
    <row r="424" spans="1:8" x14ac:dyDescent="0.2">
      <c r="A424" s="1" t="s">
        <v>1536</v>
      </c>
    </row>
    <row r="425" spans="1:8" x14ac:dyDescent="0.2">
      <c r="A425" s="1" t="s">
        <v>1537</v>
      </c>
    </row>
    <row r="426" spans="1:8" x14ac:dyDescent="0.2">
      <c r="A426" s="1" t="s">
        <v>1538</v>
      </c>
    </row>
    <row r="427" spans="1:8" x14ac:dyDescent="0.2">
      <c r="A427" s="1" t="s">
        <v>1539</v>
      </c>
    </row>
    <row r="428" spans="1:8" x14ac:dyDescent="0.2">
      <c r="A428" s="1" t="s">
        <v>1540</v>
      </c>
    </row>
    <row r="429" spans="1:8" ht="17" thickBot="1" x14ac:dyDescent="0.25"/>
    <row r="430" spans="1:8" ht="17" thickBot="1" x14ac:dyDescent="0.25">
      <c r="A430" s="66" t="s">
        <v>1527</v>
      </c>
      <c r="B430" s="67"/>
      <c r="C430" s="67"/>
      <c r="D430" s="67"/>
      <c r="E430" s="67"/>
      <c r="F430" s="67"/>
      <c r="G430" s="67"/>
      <c r="H430" s="132"/>
    </row>
    <row r="432" spans="1:8" x14ac:dyDescent="0.2">
      <c r="A432" s="1" t="s">
        <v>1623</v>
      </c>
      <c r="E432" s="79">
        <v>6000</v>
      </c>
    </row>
    <row r="434" spans="1:8" x14ac:dyDescent="0.2">
      <c r="A434" s="1" t="s">
        <v>1624</v>
      </c>
    </row>
    <row r="435" spans="1:8" x14ac:dyDescent="0.2">
      <c r="A435" s="1" t="s">
        <v>1625</v>
      </c>
    </row>
    <row r="437" spans="1:8" x14ac:dyDescent="0.2">
      <c r="A437" s="1" t="s">
        <v>1626</v>
      </c>
    </row>
    <row r="438" spans="1:8" x14ac:dyDescent="0.2">
      <c r="A438" s="1" t="s">
        <v>1627</v>
      </c>
    </row>
    <row r="440" spans="1:8" x14ac:dyDescent="0.2">
      <c r="A440" s="16" t="s">
        <v>120</v>
      </c>
      <c r="B440" s="16" t="s">
        <v>1621</v>
      </c>
    </row>
    <row r="441" spans="1:8" x14ac:dyDescent="0.2">
      <c r="A441" s="7">
        <v>44562</v>
      </c>
      <c r="B441" s="8">
        <v>100000</v>
      </c>
      <c r="C441" s="2" t="s">
        <v>1628</v>
      </c>
      <c r="D441" s="1" t="s">
        <v>1629</v>
      </c>
    </row>
    <row r="442" spans="1:8" x14ac:dyDescent="0.2">
      <c r="A442" s="7">
        <v>44652</v>
      </c>
      <c r="B442" s="8">
        <v>20000</v>
      </c>
    </row>
    <row r="443" spans="1:8" x14ac:dyDescent="0.2">
      <c r="A443" s="7">
        <v>44743</v>
      </c>
      <c r="B443" s="8">
        <v>40000</v>
      </c>
    </row>
    <row r="444" spans="1:8" x14ac:dyDescent="0.2">
      <c r="A444" s="7">
        <v>44926</v>
      </c>
      <c r="B444" s="8">
        <v>500000</v>
      </c>
    </row>
    <row r="445" spans="1:8" ht="17" thickBot="1" x14ac:dyDescent="0.25"/>
    <row r="446" spans="1:8" ht="17" thickBot="1" x14ac:dyDescent="0.25">
      <c r="A446" s="66" t="s">
        <v>1528</v>
      </c>
      <c r="B446" s="67"/>
      <c r="C446" s="67"/>
      <c r="D446" s="67"/>
      <c r="E446" s="67"/>
      <c r="F446" s="67"/>
      <c r="G446" s="67"/>
      <c r="H446" s="132"/>
    </row>
    <row r="448" spans="1:8" x14ac:dyDescent="0.2">
      <c r="A448" s="1" t="s">
        <v>1489</v>
      </c>
    </row>
    <row r="449" spans="1:10" x14ac:dyDescent="0.2">
      <c r="A449" s="1" t="s">
        <v>1490</v>
      </c>
    </row>
    <row r="450" spans="1:10" x14ac:dyDescent="0.2">
      <c r="A450" s="1" t="s">
        <v>1491</v>
      </c>
    </row>
    <row r="451" spans="1:10" x14ac:dyDescent="0.2">
      <c r="A451" s="1" t="s">
        <v>1492</v>
      </c>
    </row>
    <row r="452" spans="1:10" x14ac:dyDescent="0.2">
      <c r="A452" s="1" t="s">
        <v>1493</v>
      </c>
    </row>
    <row r="454" spans="1:10" x14ac:dyDescent="0.2">
      <c r="A454" s="1" t="s">
        <v>1630</v>
      </c>
      <c r="E454" s="8">
        <f>70000*8%</f>
        <v>5600</v>
      </c>
      <c r="H454" s="1" t="s">
        <v>1631</v>
      </c>
    </row>
    <row r="455" spans="1:10" ht="17" thickBot="1" x14ac:dyDescent="0.25">
      <c r="A455" s="1" t="s">
        <v>1632</v>
      </c>
      <c r="E455" s="8">
        <f>100000*6%*3/12</f>
        <v>1500</v>
      </c>
      <c r="H455" s="1" t="s">
        <v>1633</v>
      </c>
    </row>
    <row r="456" spans="1:10" ht="17" thickBot="1" x14ac:dyDescent="0.25">
      <c r="A456" s="1" t="s">
        <v>1634</v>
      </c>
      <c r="E456" s="138">
        <f>SUM(E454:E455)</f>
        <v>7100</v>
      </c>
      <c r="J456" s="1" t="s">
        <v>1659</v>
      </c>
    </row>
    <row r="457" spans="1:10" ht="17" thickBot="1" x14ac:dyDescent="0.25">
      <c r="J457" s="1" t="s">
        <v>1660</v>
      </c>
    </row>
    <row r="458" spans="1:10" x14ac:dyDescent="0.2">
      <c r="A458" s="53" t="s">
        <v>1533</v>
      </c>
      <c r="B458" s="23"/>
      <c r="C458" s="23"/>
      <c r="D458" s="23"/>
      <c r="E458" s="23"/>
      <c r="F458" s="23"/>
      <c r="G458" s="23"/>
      <c r="H458" s="35"/>
      <c r="J458" s="1" t="s">
        <v>1661</v>
      </c>
    </row>
    <row r="459" spans="1:10" ht="17" thickBot="1" x14ac:dyDescent="0.25">
      <c r="A459" s="28" t="s">
        <v>1534</v>
      </c>
      <c r="B459" s="29"/>
      <c r="C459" s="29"/>
      <c r="D459" s="29"/>
      <c r="E459" s="29"/>
      <c r="F459" s="29"/>
      <c r="G459" s="29"/>
      <c r="H459" s="37"/>
    </row>
    <row r="461" spans="1:10" x14ac:dyDescent="0.2">
      <c r="A461" s="1" t="s">
        <v>1636</v>
      </c>
      <c r="E461" s="8">
        <f>70000*1</f>
        <v>70000</v>
      </c>
      <c r="H461" s="1" t="s">
        <v>1635</v>
      </c>
    </row>
    <row r="462" spans="1:10" ht="17" thickBot="1" x14ac:dyDescent="0.25">
      <c r="A462" s="1" t="s">
        <v>1637</v>
      </c>
      <c r="E462" s="8">
        <v>25000</v>
      </c>
      <c r="H462" s="1" t="s">
        <v>1638</v>
      </c>
    </row>
    <row r="463" spans="1:10" ht="17" thickBot="1" x14ac:dyDescent="0.25">
      <c r="A463" s="1" t="s">
        <v>1639</v>
      </c>
      <c r="E463" s="138">
        <f>E461+E462</f>
        <v>95000</v>
      </c>
    </row>
    <row r="465" spans="1:8" x14ac:dyDescent="0.2">
      <c r="A465" s="3" t="s">
        <v>1640</v>
      </c>
    </row>
    <row r="466" spans="1:8" x14ac:dyDescent="0.2">
      <c r="A466" s="1" t="s">
        <v>1641</v>
      </c>
    </row>
    <row r="467" spans="1:8" x14ac:dyDescent="0.2">
      <c r="E467" s="142">
        <f>E456/E463</f>
        <v>7.4736842105263157E-2</v>
      </c>
      <c r="H467" s="1" t="s">
        <v>1642</v>
      </c>
    </row>
    <row r="468" spans="1:8" ht="17" thickBot="1" x14ac:dyDescent="0.25"/>
    <row r="469" spans="1:8" x14ac:dyDescent="0.2">
      <c r="A469" s="53" t="s">
        <v>1643</v>
      </c>
      <c r="B469" s="23"/>
      <c r="C469" s="23"/>
      <c r="D469" s="23"/>
      <c r="E469" s="23"/>
      <c r="F469" s="23"/>
      <c r="G469" s="23"/>
      <c r="H469" s="35"/>
    </row>
    <row r="470" spans="1:8" ht="17" thickBot="1" x14ac:dyDescent="0.25">
      <c r="A470" s="28" t="s">
        <v>1536</v>
      </c>
      <c r="B470" s="29"/>
      <c r="C470" s="29"/>
      <c r="D470" s="29"/>
      <c r="E470" s="29"/>
      <c r="F470" s="29"/>
      <c r="G470" s="29"/>
      <c r="H470" s="37"/>
    </row>
    <row r="472" spans="1:8" x14ac:dyDescent="0.2">
      <c r="A472" s="16" t="s">
        <v>120</v>
      </c>
      <c r="B472" s="9" t="s">
        <v>1621</v>
      </c>
      <c r="C472" s="9" t="s">
        <v>1644</v>
      </c>
      <c r="D472" s="16"/>
      <c r="E472" s="16"/>
      <c r="F472" s="16" t="s">
        <v>1645</v>
      </c>
    </row>
    <row r="473" spans="1:8" x14ac:dyDescent="0.2">
      <c r="A473" s="7">
        <v>44562</v>
      </c>
      <c r="B473" s="14">
        <v>100000</v>
      </c>
      <c r="C473" s="2">
        <v>1</v>
      </c>
      <c r="F473" s="14">
        <f>B473*C473</f>
        <v>100000</v>
      </c>
    </row>
    <row r="474" spans="1:8" x14ac:dyDescent="0.2">
      <c r="A474" s="7">
        <v>44652</v>
      </c>
      <c r="B474" s="14">
        <v>20000</v>
      </c>
      <c r="C474" s="2">
        <f>9/12</f>
        <v>0.75</v>
      </c>
      <c r="F474" s="14">
        <f>B474*C474</f>
        <v>15000</v>
      </c>
    </row>
    <row r="475" spans="1:8" x14ac:dyDescent="0.2">
      <c r="A475" s="7">
        <v>44743</v>
      </c>
      <c r="B475" s="14">
        <v>40000</v>
      </c>
      <c r="C475" s="2">
        <f>6/12</f>
        <v>0.5</v>
      </c>
      <c r="F475" s="14">
        <f>B475*C475</f>
        <v>20000</v>
      </c>
    </row>
    <row r="476" spans="1:8" x14ac:dyDescent="0.2">
      <c r="A476" s="7">
        <v>44926</v>
      </c>
      <c r="B476" s="14">
        <v>500000</v>
      </c>
      <c r="C476" s="2">
        <v>0</v>
      </c>
      <c r="F476" s="14">
        <f>B476*C476</f>
        <v>0</v>
      </c>
    </row>
    <row r="477" spans="1:8" ht="17" thickBot="1" x14ac:dyDescent="0.25">
      <c r="A477" s="1" t="s">
        <v>1662</v>
      </c>
      <c r="F477" s="14">
        <f>-60000</f>
        <v>-60000</v>
      </c>
      <c r="H477" s="1" t="s">
        <v>1646</v>
      </c>
    </row>
    <row r="478" spans="1:8" ht="17" thickBot="1" x14ac:dyDescent="0.25">
      <c r="A478" s="1" t="s">
        <v>1647</v>
      </c>
      <c r="F478" s="143">
        <f>SUM(F473:F477)</f>
        <v>75000</v>
      </c>
    </row>
    <row r="479" spans="1:8" ht="17" thickBot="1" x14ac:dyDescent="0.25">
      <c r="F479" s="14"/>
    </row>
    <row r="480" spans="1:8" x14ac:dyDescent="0.2">
      <c r="A480" s="53" t="s">
        <v>1537</v>
      </c>
      <c r="B480" s="23"/>
      <c r="C480" s="23"/>
      <c r="D480" s="23"/>
      <c r="E480" s="23"/>
      <c r="F480" s="23"/>
      <c r="G480" s="23"/>
      <c r="H480" s="35"/>
    </row>
    <row r="481" spans="1:9" x14ac:dyDescent="0.2">
      <c r="A481" s="26" t="s">
        <v>1538</v>
      </c>
      <c r="H481" s="36"/>
    </row>
    <row r="482" spans="1:9" ht="17" thickBot="1" x14ac:dyDescent="0.25">
      <c r="A482" s="28" t="s">
        <v>1539</v>
      </c>
      <c r="B482" s="29"/>
      <c r="C482" s="29"/>
      <c r="D482" s="29"/>
      <c r="E482" s="29"/>
      <c r="F482" s="29"/>
      <c r="G482" s="29"/>
      <c r="H482" s="37"/>
    </row>
    <row r="483" spans="1:9" x14ac:dyDescent="0.2">
      <c r="F483" s="14"/>
    </row>
    <row r="484" spans="1:9" x14ac:dyDescent="0.2">
      <c r="A484" s="1" t="s">
        <v>1648</v>
      </c>
      <c r="F484" s="14">
        <f>E467*F478</f>
        <v>5605.2631578947367</v>
      </c>
      <c r="H484" s="1" t="s">
        <v>1649</v>
      </c>
    </row>
    <row r="485" spans="1:9" x14ac:dyDescent="0.2">
      <c r="A485" s="1" t="s">
        <v>1650</v>
      </c>
      <c r="F485" s="14">
        <f>E456</f>
        <v>7100</v>
      </c>
    </row>
    <row r="486" spans="1:9" ht="17" thickBot="1" x14ac:dyDescent="0.25">
      <c r="F486" s="14"/>
    </row>
    <row r="487" spans="1:9" ht="17" thickBot="1" x14ac:dyDescent="0.25">
      <c r="A487" s="66" t="s">
        <v>1651</v>
      </c>
      <c r="B487" s="67"/>
      <c r="C487" s="67"/>
      <c r="D487" s="67"/>
      <c r="E487" s="67"/>
      <c r="F487" s="68"/>
      <c r="G487" s="67"/>
      <c r="H487" s="132"/>
    </row>
    <row r="488" spans="1:9" x14ac:dyDescent="0.2">
      <c r="F488" s="14"/>
    </row>
    <row r="489" spans="1:9" x14ac:dyDescent="0.2">
      <c r="F489" s="144">
        <f>MIN(F484:F485)</f>
        <v>5605.2631578947367</v>
      </c>
    </row>
    <row r="490" spans="1:9" x14ac:dyDescent="0.2">
      <c r="F490" s="144"/>
    </row>
    <row r="491" spans="1:9" x14ac:dyDescent="0.2">
      <c r="A491" s="1" t="s">
        <v>1652</v>
      </c>
      <c r="F491" s="144"/>
      <c r="I491" s="3"/>
    </row>
    <row r="492" spans="1:9" x14ac:dyDescent="0.2">
      <c r="F492" s="144"/>
    </row>
    <row r="493" spans="1:9" x14ac:dyDescent="0.2">
      <c r="A493" s="16" t="s">
        <v>120</v>
      </c>
      <c r="B493" s="9" t="s">
        <v>1621</v>
      </c>
      <c r="F493" s="144"/>
    </row>
    <row r="494" spans="1:9" x14ac:dyDescent="0.2">
      <c r="A494" s="7">
        <v>44562</v>
      </c>
      <c r="B494" s="14">
        <v>100000</v>
      </c>
      <c r="F494" s="144"/>
    </row>
    <row r="495" spans="1:9" x14ac:dyDescent="0.2">
      <c r="A495" s="7">
        <v>44652</v>
      </c>
      <c r="B495" s="14">
        <v>20000</v>
      </c>
      <c r="F495" s="144"/>
    </row>
    <row r="496" spans="1:9" x14ac:dyDescent="0.2">
      <c r="A496" s="7">
        <v>44743</v>
      </c>
      <c r="B496" s="14">
        <v>40000</v>
      </c>
    </row>
    <row r="497" spans="1:11" x14ac:dyDescent="0.2">
      <c r="A497" s="7">
        <v>44926</v>
      </c>
      <c r="B497" s="14">
        <v>500000</v>
      </c>
    </row>
    <row r="498" spans="1:11" x14ac:dyDescent="0.2">
      <c r="A498" s="7" t="s">
        <v>1653</v>
      </c>
      <c r="B498" s="14">
        <f>SUM(B494:B497)</f>
        <v>660000</v>
      </c>
    </row>
    <row r="499" spans="1:11" x14ac:dyDescent="0.2">
      <c r="A499" s="7"/>
      <c r="B499" s="14"/>
      <c r="G499" s="39">
        <v>44926</v>
      </c>
    </row>
    <row r="500" spans="1:11" ht="17" thickBot="1" x14ac:dyDescent="0.25">
      <c r="A500" s="7"/>
      <c r="B500" s="14"/>
      <c r="C500" s="1" t="s">
        <v>1654</v>
      </c>
      <c r="G500" s="8">
        <f>B498</f>
        <v>660000</v>
      </c>
    </row>
    <row r="501" spans="1:11" ht="17" thickBot="1" x14ac:dyDescent="0.25">
      <c r="A501" s="7"/>
      <c r="B501" s="14"/>
      <c r="C501" s="1" t="s">
        <v>1655</v>
      </c>
      <c r="G501" s="8">
        <f>E432</f>
        <v>6000</v>
      </c>
      <c r="H501" s="1" t="s">
        <v>1658</v>
      </c>
      <c r="K501" s="145">
        <f>G501+G502</f>
        <v>11605.263157894737</v>
      </c>
    </row>
    <row r="502" spans="1:11" ht="17" thickBot="1" x14ac:dyDescent="0.25">
      <c r="A502" s="7"/>
      <c r="B502" s="14"/>
      <c r="C502" s="1" t="s">
        <v>1656</v>
      </c>
      <c r="G502" s="8">
        <f>F489</f>
        <v>5605.2631578947367</v>
      </c>
    </row>
    <row r="503" spans="1:11" ht="17" thickBot="1" x14ac:dyDescent="0.25">
      <c r="A503" s="7"/>
      <c r="B503" s="14"/>
      <c r="C503" s="1" t="s">
        <v>1657</v>
      </c>
      <c r="G503" s="145">
        <f>SUM(G500:G502)</f>
        <v>671605.26315789472</v>
      </c>
    </row>
    <row r="504" spans="1:11" x14ac:dyDescent="0.2">
      <c r="A504" s="7"/>
      <c r="B504" s="14"/>
    </row>
    <row r="505" spans="1:11" x14ac:dyDescent="0.2">
      <c r="A505" s="7"/>
      <c r="B505" s="14"/>
    </row>
    <row r="506" spans="1:11" x14ac:dyDescent="0.2">
      <c r="A506" s="7"/>
      <c r="B506" s="14"/>
    </row>
    <row r="507" spans="1:11" x14ac:dyDescent="0.2">
      <c r="A507" s="7"/>
      <c r="B507" s="14"/>
    </row>
    <row r="508" spans="1:11" x14ac:dyDescent="0.2">
      <c r="A508" s="7"/>
      <c r="B508" s="14"/>
    </row>
    <row r="523" spans="1:8" x14ac:dyDescent="0.2">
      <c r="A523" s="6" t="s">
        <v>1497</v>
      </c>
      <c r="B523" s="6"/>
      <c r="C523" s="6"/>
      <c r="D523" s="6"/>
      <c r="E523" s="6"/>
      <c r="F523" s="6"/>
      <c r="G523" s="6"/>
      <c r="H523" s="6"/>
    </row>
    <row r="524" spans="1:8" x14ac:dyDescent="0.2">
      <c r="A524" s="1" t="s">
        <v>1498</v>
      </c>
    </row>
    <row r="525" spans="1:8" x14ac:dyDescent="0.2">
      <c r="A525" s="1" t="s">
        <v>1674</v>
      </c>
    </row>
    <row r="526" spans="1:8" x14ac:dyDescent="0.2">
      <c r="A526" s="1" t="s">
        <v>1499</v>
      </c>
    </row>
    <row r="527" spans="1:8" x14ac:dyDescent="0.2">
      <c r="A527" s="1" t="s">
        <v>1663</v>
      </c>
    </row>
    <row r="529" spans="1:9" x14ac:dyDescent="0.2">
      <c r="A529" s="1" t="s">
        <v>1500</v>
      </c>
    </row>
    <row r="531" spans="1:9" x14ac:dyDescent="0.2">
      <c r="A531" s="1" t="s">
        <v>120</v>
      </c>
      <c r="B531" s="1" t="s">
        <v>1501</v>
      </c>
    </row>
    <row r="532" spans="1:9" x14ac:dyDescent="0.2">
      <c r="A532" s="7">
        <v>44562</v>
      </c>
      <c r="B532" s="1">
        <v>4</v>
      </c>
    </row>
    <row r="533" spans="1:9" x14ac:dyDescent="0.2">
      <c r="A533" s="7">
        <v>44926</v>
      </c>
      <c r="B533" s="1">
        <v>4.3</v>
      </c>
    </row>
    <row r="534" spans="1:9" x14ac:dyDescent="0.2">
      <c r="A534" s="1" t="s">
        <v>1502</v>
      </c>
      <c r="B534" s="1">
        <v>4.0999999999999996</v>
      </c>
    </row>
    <row r="536" spans="1:9" x14ac:dyDescent="0.2">
      <c r="A536" s="1" t="s">
        <v>1503</v>
      </c>
    </row>
    <row r="538" spans="1:9" x14ac:dyDescent="0.2">
      <c r="A538" s="3" t="s">
        <v>3006</v>
      </c>
    </row>
    <row r="540" spans="1:9" x14ac:dyDescent="0.2">
      <c r="A540" s="16" t="s">
        <v>3007</v>
      </c>
      <c r="B540" s="16"/>
      <c r="C540" s="16"/>
      <c r="D540" s="16"/>
      <c r="F540" s="16" t="s">
        <v>3012</v>
      </c>
      <c r="G540" s="16"/>
      <c r="H540" s="16"/>
      <c r="I540" s="16"/>
    </row>
    <row r="541" spans="1:9" x14ac:dyDescent="0.2">
      <c r="D541" s="16" t="s">
        <v>466</v>
      </c>
      <c r="F541" s="8">
        <v>16000</v>
      </c>
      <c r="H541" s="1" t="s">
        <v>3013</v>
      </c>
    </row>
    <row r="542" spans="1:9" x14ac:dyDescent="0.2">
      <c r="B542" s="7">
        <v>44562</v>
      </c>
      <c r="C542" s="1" t="s">
        <v>3008</v>
      </c>
      <c r="D542" s="14">
        <f>50000*4</f>
        <v>200000</v>
      </c>
    </row>
    <row r="543" spans="1:9" x14ac:dyDescent="0.2">
      <c r="B543" s="7">
        <v>44926</v>
      </c>
      <c r="C543" s="1" t="s">
        <v>3009</v>
      </c>
      <c r="D543" s="11">
        <f>-5%*50000*4.3</f>
        <v>-10750</v>
      </c>
    </row>
    <row r="544" spans="1:9" x14ac:dyDescent="0.2">
      <c r="B544" s="1">
        <v>2022</v>
      </c>
      <c r="C544" s="1" t="s">
        <v>3011</v>
      </c>
      <c r="D544" s="388">
        <f>D545-D543-D542</f>
        <v>25750</v>
      </c>
    </row>
    <row r="545" spans="1:8" x14ac:dyDescent="0.2">
      <c r="B545" s="7">
        <v>44926</v>
      </c>
      <c r="C545" s="1" t="s">
        <v>3010</v>
      </c>
      <c r="D545" s="386">
        <f>50000*4.3</f>
        <v>215000</v>
      </c>
    </row>
    <row r="547" spans="1:8" x14ac:dyDescent="0.2">
      <c r="A547" s="1" t="s">
        <v>3014</v>
      </c>
    </row>
    <row r="549" spans="1:8" x14ac:dyDescent="0.2">
      <c r="B549" s="1" t="s">
        <v>3015</v>
      </c>
      <c r="F549" s="14">
        <f>D544</f>
        <v>25750</v>
      </c>
    </row>
    <row r="550" spans="1:8" x14ac:dyDescent="0.2">
      <c r="B550" s="1" t="s">
        <v>3016</v>
      </c>
      <c r="F550" s="14">
        <f>F541</f>
        <v>16000</v>
      </c>
    </row>
    <row r="551" spans="1:8" x14ac:dyDescent="0.2">
      <c r="B551" s="1" t="s">
        <v>3017</v>
      </c>
      <c r="F551" s="383">
        <f>F550</f>
        <v>16000</v>
      </c>
    </row>
    <row r="553" spans="1:8" x14ac:dyDescent="0.2">
      <c r="B553" s="1" t="s">
        <v>3018</v>
      </c>
      <c r="F553" s="390">
        <f>F549-F550</f>
        <v>9750</v>
      </c>
      <c r="H553" s="1" t="s">
        <v>3019</v>
      </c>
    </row>
    <row r="556" spans="1:8" x14ac:dyDescent="0.2">
      <c r="A556" s="3" t="s">
        <v>3020</v>
      </c>
    </row>
    <row r="557" spans="1:8" x14ac:dyDescent="0.2">
      <c r="A557" s="3"/>
    </row>
    <row r="558" spans="1:8" x14ac:dyDescent="0.2">
      <c r="A558" s="1" t="s">
        <v>1664</v>
      </c>
    </row>
    <row r="559" spans="1:8" x14ac:dyDescent="0.2">
      <c r="A559" s="1" t="s">
        <v>1665</v>
      </c>
    </row>
    <row r="560" spans="1:8" x14ac:dyDescent="0.2">
      <c r="A560" s="1" t="s">
        <v>1666</v>
      </c>
    </row>
    <row r="561" spans="1:8" x14ac:dyDescent="0.2">
      <c r="A561" s="1" t="s">
        <v>1667</v>
      </c>
    </row>
    <row r="563" spans="1:8" x14ac:dyDescent="0.2">
      <c r="A563" s="1" t="s">
        <v>1668</v>
      </c>
    </row>
    <row r="564" spans="1:8" x14ac:dyDescent="0.2">
      <c r="A564" s="1" t="s">
        <v>1669</v>
      </c>
    </row>
    <row r="565" spans="1:8" x14ac:dyDescent="0.2">
      <c r="A565" s="1" t="s">
        <v>1670</v>
      </c>
    </row>
    <row r="567" spans="1:8" x14ac:dyDescent="0.2">
      <c r="A567" s="1" t="s">
        <v>1684</v>
      </c>
    </row>
    <row r="568" spans="1:8" x14ac:dyDescent="0.2">
      <c r="A568" s="7">
        <v>44562</v>
      </c>
      <c r="B568" s="1" t="s">
        <v>1671</v>
      </c>
      <c r="F568" s="8">
        <v>200000</v>
      </c>
      <c r="H568" s="1" t="s">
        <v>1672</v>
      </c>
    </row>
    <row r="569" spans="1:8" x14ac:dyDescent="0.2">
      <c r="A569" s="1">
        <v>2022</v>
      </c>
      <c r="B569" s="1" t="s">
        <v>1676</v>
      </c>
      <c r="F569" s="10">
        <f>-50000*5%*4.3</f>
        <v>-10750</v>
      </c>
      <c r="H569" s="1" t="s">
        <v>1677</v>
      </c>
    </row>
    <row r="570" spans="1:8" x14ac:dyDescent="0.2">
      <c r="A570" s="1">
        <v>2022</v>
      </c>
      <c r="B570" s="1" t="s">
        <v>1678</v>
      </c>
      <c r="F570" s="79">
        <f>F571-F569-F568</f>
        <v>25750</v>
      </c>
    </row>
    <row r="571" spans="1:8" x14ac:dyDescent="0.2">
      <c r="A571" s="7">
        <v>44926</v>
      </c>
      <c r="B571" s="1" t="s">
        <v>1673</v>
      </c>
      <c r="F571" s="8">
        <f>50000*4.3</f>
        <v>215000</v>
      </c>
      <c r="H571" s="1" t="s">
        <v>1675</v>
      </c>
    </row>
    <row r="573" spans="1:8" x14ac:dyDescent="0.2">
      <c r="A573" s="1" t="s">
        <v>1679</v>
      </c>
    </row>
    <row r="574" spans="1:8" x14ac:dyDescent="0.2">
      <c r="A574" s="1" t="s">
        <v>1680</v>
      </c>
    </row>
    <row r="575" spans="1:8" x14ac:dyDescent="0.2">
      <c r="A575" s="1" t="s">
        <v>1681</v>
      </c>
    </row>
    <row r="576" spans="1:8" x14ac:dyDescent="0.2">
      <c r="A576" s="1" t="s">
        <v>1682</v>
      </c>
    </row>
    <row r="577" spans="1:8" x14ac:dyDescent="0.2">
      <c r="A577" s="1" t="s">
        <v>1683</v>
      </c>
    </row>
    <row r="579" spans="1:8" x14ac:dyDescent="0.2">
      <c r="A579" s="1" t="s">
        <v>1688</v>
      </c>
    </row>
    <row r="580" spans="1:8" x14ac:dyDescent="0.2">
      <c r="A580" s="1" t="s">
        <v>1686</v>
      </c>
      <c r="C580" s="10">
        <f>-F569</f>
        <v>10750</v>
      </c>
      <c r="D580" s="1" t="s">
        <v>1690</v>
      </c>
    </row>
    <row r="581" spans="1:8" x14ac:dyDescent="0.2">
      <c r="A581" s="1" t="s">
        <v>1689</v>
      </c>
      <c r="C581" s="146">
        <f>C582-C580</f>
        <v>15000</v>
      </c>
      <c r="D581" s="1" t="s">
        <v>1692</v>
      </c>
    </row>
    <row r="582" spans="1:8" x14ac:dyDescent="0.2">
      <c r="A582" s="1" t="s">
        <v>1685</v>
      </c>
      <c r="C582" s="79">
        <f>F570</f>
        <v>25750</v>
      </c>
      <c r="D582" s="1" t="s">
        <v>1691</v>
      </c>
    </row>
    <row r="584" spans="1:8" x14ac:dyDescent="0.2">
      <c r="A584" s="1" t="s">
        <v>1693</v>
      </c>
    </row>
    <row r="585" spans="1:8" x14ac:dyDescent="0.2">
      <c r="A585" s="1" t="s">
        <v>1694</v>
      </c>
    </row>
    <row r="586" spans="1:8" x14ac:dyDescent="0.2">
      <c r="A586" s="1" t="s">
        <v>1695</v>
      </c>
      <c r="F586" s="147">
        <v>16000</v>
      </c>
      <c r="H586" s="1" t="s">
        <v>1696</v>
      </c>
    </row>
    <row r="587" spans="1:8" x14ac:dyDescent="0.2">
      <c r="F587" s="148" t="s">
        <v>1697</v>
      </c>
    </row>
    <row r="589" spans="1:8" x14ac:dyDescent="0.2">
      <c r="A589" s="3" t="s">
        <v>1698</v>
      </c>
    </row>
    <row r="590" spans="1:8" x14ac:dyDescent="0.2">
      <c r="A590" s="3" t="s">
        <v>1699</v>
      </c>
      <c r="D590" s="149">
        <f>F586</f>
        <v>16000</v>
      </c>
      <c r="F590" s="1" t="s">
        <v>1700</v>
      </c>
    </row>
    <row r="591" spans="1:8" ht="17" thickBot="1" x14ac:dyDescent="0.25"/>
    <row r="592" spans="1:8" ht="17" thickBot="1" x14ac:dyDescent="0.25">
      <c r="A592" s="66" t="s">
        <v>1503</v>
      </c>
      <c r="B592" s="67"/>
      <c r="C592" s="67"/>
      <c r="D592" s="67"/>
      <c r="E592" s="67"/>
      <c r="F592" s="67"/>
      <c r="G592" s="67"/>
      <c r="H592" s="132"/>
    </row>
    <row r="594" spans="1:7" x14ac:dyDescent="0.2">
      <c r="A594" s="1" t="s">
        <v>1701</v>
      </c>
      <c r="E594" s="1" t="s">
        <v>1704</v>
      </c>
    </row>
    <row r="595" spans="1:7" x14ac:dyDescent="0.2">
      <c r="B595" s="1" t="s">
        <v>1702</v>
      </c>
      <c r="C595" s="10">
        <f>C580</f>
        <v>10750</v>
      </c>
      <c r="E595" s="1" t="s">
        <v>1705</v>
      </c>
      <c r="G595" s="8">
        <f>C581</f>
        <v>15000</v>
      </c>
    </row>
    <row r="596" spans="1:7" x14ac:dyDescent="0.2">
      <c r="B596" s="1" t="s">
        <v>1687</v>
      </c>
      <c r="C596" s="8">
        <f>C597-C595</f>
        <v>5250</v>
      </c>
      <c r="D596" s="2" t="s">
        <v>782</v>
      </c>
      <c r="E596" s="1" t="s">
        <v>1706</v>
      </c>
      <c r="G596" s="8">
        <f>-C596</f>
        <v>-5250</v>
      </c>
    </row>
    <row r="597" spans="1:7" x14ac:dyDescent="0.2">
      <c r="B597" s="3" t="s">
        <v>1703</v>
      </c>
      <c r="C597" s="149">
        <f>D590</f>
        <v>16000</v>
      </c>
      <c r="E597" s="3" t="s">
        <v>1707</v>
      </c>
      <c r="F597" s="3"/>
      <c r="G597" s="150">
        <f>G595+G596</f>
        <v>9750</v>
      </c>
    </row>
    <row r="598" spans="1:7" x14ac:dyDescent="0.2">
      <c r="B598" s="3"/>
    </row>
    <row r="599" spans="1:7" x14ac:dyDescent="0.2">
      <c r="B599" s="3"/>
    </row>
    <row r="600" spans="1:7" x14ac:dyDescent="0.2">
      <c r="B600" s="3"/>
    </row>
    <row r="601" spans="1:7" x14ac:dyDescent="0.2">
      <c r="B601" s="3"/>
    </row>
    <row r="602" spans="1:7" x14ac:dyDescent="0.2">
      <c r="B602" s="3"/>
    </row>
  </sheetData>
  <mergeCells count="5">
    <mergeCell ref="E258:G258"/>
    <mergeCell ref="E259:G259"/>
    <mergeCell ref="D258:D259"/>
    <mergeCell ref="A258:C258"/>
    <mergeCell ref="A259:C259"/>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E4C494-682C-C44D-97B9-7AA074FE17CE}">
  <dimension ref="A1:H1"/>
  <sheetViews>
    <sheetView rightToLeft="1" topLeftCell="A129" zoomScale="287" zoomScaleNormal="270" workbookViewId="0">
      <selection activeCell="A69" sqref="A69"/>
    </sheetView>
  </sheetViews>
  <sheetFormatPr baseColWidth="10" defaultRowHeight="16" x14ac:dyDescent="0.2"/>
  <sheetData>
    <row r="1" spans="1:8" s="1" customFormat="1" x14ac:dyDescent="0.2">
      <c r="A1" s="6" t="s">
        <v>1708</v>
      </c>
      <c r="B1" s="6"/>
      <c r="C1" s="6"/>
      <c r="D1" s="6"/>
      <c r="E1" s="6"/>
      <c r="F1" s="6"/>
      <c r="G1" s="34">
        <v>45665</v>
      </c>
      <c r="H1" s="6" t="s">
        <v>10</v>
      </c>
    </row>
  </sheetData>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EE000E-6276-3449-A555-691BEA815CAD}">
  <sheetPr>
    <pageSetUpPr fitToPage="1"/>
  </sheetPr>
  <dimension ref="A1:J703"/>
  <sheetViews>
    <sheetView rightToLeft="1" tabSelected="1" topLeftCell="A24" zoomScale="358" workbookViewId="0">
      <selection activeCell="J25" sqref="J25"/>
    </sheetView>
  </sheetViews>
  <sheetFormatPr baseColWidth="10" defaultRowHeight="16" x14ac:dyDescent="0.2"/>
  <cols>
    <col min="3" max="3" width="11.33203125" bestFit="1" customWidth="1"/>
    <col min="4" max="4" width="12" customWidth="1"/>
    <col min="8" max="8" width="12.33203125" customWidth="1"/>
  </cols>
  <sheetData>
    <row r="1" spans="1:10" s="1" customFormat="1" x14ac:dyDescent="0.2">
      <c r="A1" s="6" t="s">
        <v>1714</v>
      </c>
      <c r="B1" s="6"/>
      <c r="C1" s="6"/>
      <c r="D1" s="6"/>
      <c r="E1" s="6"/>
      <c r="F1" s="6"/>
      <c r="G1" s="34">
        <v>45350</v>
      </c>
      <c r="H1" s="6" t="s">
        <v>10</v>
      </c>
    </row>
    <row r="2" spans="1:10" s="1" customFormat="1" x14ac:dyDescent="0.2">
      <c r="A2" s="3"/>
      <c r="B2" s="3"/>
      <c r="C2" s="3"/>
      <c r="D2" s="3"/>
      <c r="E2" s="3"/>
      <c r="F2" s="3"/>
      <c r="G2" s="63"/>
      <c r="H2" s="3"/>
    </row>
    <row r="3" spans="1:10" x14ac:dyDescent="0.2">
      <c r="A3" s="151" t="s">
        <v>1715</v>
      </c>
      <c r="B3" s="151"/>
      <c r="C3" s="151"/>
      <c r="D3" s="151"/>
      <c r="E3" s="151"/>
      <c r="F3" s="151"/>
      <c r="G3" s="151"/>
      <c r="H3" s="151"/>
    </row>
    <row r="14" spans="1:10" x14ac:dyDescent="0.2">
      <c r="I14" t="s">
        <v>3021</v>
      </c>
    </row>
    <row r="15" spans="1:10" x14ac:dyDescent="0.2">
      <c r="I15" s="420">
        <f>RATE(I16,I17,I18,I19)</f>
        <v>1.4269690241760238E-2</v>
      </c>
      <c r="J15" s="1" t="s">
        <v>1267</v>
      </c>
    </row>
    <row r="16" spans="1:10" x14ac:dyDescent="0.2">
      <c r="I16">
        <v>36</v>
      </c>
      <c r="J16" s="1" t="s">
        <v>1268</v>
      </c>
    </row>
    <row r="17" spans="9:10" x14ac:dyDescent="0.2">
      <c r="I17">
        <v>-1000</v>
      </c>
      <c r="J17" s="1" t="s">
        <v>1269</v>
      </c>
    </row>
    <row r="18" spans="9:10" x14ac:dyDescent="0.2">
      <c r="I18">
        <v>28000</v>
      </c>
      <c r="J18" s="1" t="s">
        <v>1726</v>
      </c>
    </row>
    <row r="19" spans="9:10" x14ac:dyDescent="0.2">
      <c r="I19">
        <v>0</v>
      </c>
      <c r="J19" s="1" t="s">
        <v>1727</v>
      </c>
    </row>
    <row r="60" spans="1:8" x14ac:dyDescent="0.2">
      <c r="A60" s="6" t="s">
        <v>1716</v>
      </c>
      <c r="B60" s="6"/>
      <c r="C60" s="6"/>
      <c r="D60" s="6"/>
      <c r="E60" s="6"/>
      <c r="F60" s="6"/>
      <c r="G60" s="6"/>
      <c r="H60" s="152"/>
    </row>
    <row r="61" spans="1:8" x14ac:dyDescent="0.2">
      <c r="A61" s="1" t="s">
        <v>1717</v>
      </c>
      <c r="B61" s="1"/>
      <c r="C61" s="1"/>
      <c r="D61" s="1"/>
      <c r="E61" s="1"/>
      <c r="F61" s="1"/>
      <c r="G61" s="1"/>
      <c r="H61" s="1"/>
    </row>
    <row r="62" spans="1:8" x14ac:dyDescent="0.2">
      <c r="A62" s="1" t="s">
        <v>1718</v>
      </c>
      <c r="B62" s="1"/>
      <c r="C62" s="1"/>
      <c r="D62" s="1"/>
      <c r="E62" s="1"/>
      <c r="F62" s="1"/>
      <c r="G62" s="1"/>
      <c r="H62" s="1"/>
    </row>
    <row r="63" spans="1:8" x14ac:dyDescent="0.2">
      <c r="A63" s="1" t="s">
        <v>1719</v>
      </c>
      <c r="B63" s="1"/>
      <c r="C63" s="1"/>
      <c r="D63" s="1"/>
      <c r="E63" s="1"/>
      <c r="F63" s="1"/>
      <c r="G63" s="1"/>
      <c r="H63" s="1"/>
    </row>
    <row r="64" spans="1:8" x14ac:dyDescent="0.2">
      <c r="A64" s="1" t="s">
        <v>1720</v>
      </c>
      <c r="B64" s="1"/>
      <c r="C64" s="1"/>
      <c r="D64" s="1"/>
      <c r="E64" s="1"/>
      <c r="F64" s="1"/>
      <c r="G64" s="1"/>
      <c r="H64" s="1"/>
    </row>
    <row r="65" spans="1:8" x14ac:dyDescent="0.2">
      <c r="A65" s="1" t="s">
        <v>1721</v>
      </c>
      <c r="B65" s="1"/>
      <c r="C65" s="1"/>
      <c r="D65" s="1"/>
      <c r="E65" s="1"/>
      <c r="F65" s="1"/>
      <c r="G65" s="1"/>
      <c r="H65" s="1"/>
    </row>
    <row r="66" spans="1:8" x14ac:dyDescent="0.2">
      <c r="A66" s="1" t="s">
        <v>1722</v>
      </c>
      <c r="B66" s="1"/>
      <c r="C66" s="1"/>
      <c r="D66" s="1"/>
      <c r="E66" s="1"/>
      <c r="F66" s="1"/>
      <c r="G66" s="1"/>
      <c r="H66" s="1"/>
    </row>
    <row r="67" spans="1:8" x14ac:dyDescent="0.2">
      <c r="A67" s="1" t="s">
        <v>1723</v>
      </c>
      <c r="B67" s="1"/>
      <c r="C67" s="1"/>
      <c r="D67" s="1"/>
      <c r="E67" s="1"/>
      <c r="F67" s="1"/>
      <c r="G67" s="1"/>
      <c r="H67" s="1"/>
    </row>
    <row r="68" spans="1:8" x14ac:dyDescent="0.2">
      <c r="A68" s="1"/>
      <c r="B68" s="1"/>
      <c r="C68" s="1"/>
      <c r="D68" s="1"/>
      <c r="E68" s="1"/>
      <c r="F68" s="1"/>
      <c r="G68" s="1"/>
      <c r="H68" s="1"/>
    </row>
    <row r="69" spans="1:8" x14ac:dyDescent="0.2">
      <c r="A69" s="1" t="s">
        <v>876</v>
      </c>
      <c r="B69" s="1"/>
      <c r="C69" s="1"/>
      <c r="D69" s="1"/>
      <c r="E69" s="1"/>
      <c r="F69" s="1"/>
      <c r="G69" s="1"/>
      <c r="H69" s="1"/>
    </row>
    <row r="70" spans="1:8" x14ac:dyDescent="0.2">
      <c r="A70" s="1" t="s">
        <v>1724</v>
      </c>
      <c r="B70" s="1"/>
      <c r="C70" s="1"/>
      <c r="D70" s="1"/>
      <c r="E70" s="1"/>
      <c r="F70" s="1"/>
      <c r="G70" s="1"/>
      <c r="H70" s="1"/>
    </row>
    <row r="71" spans="1:8" x14ac:dyDescent="0.2">
      <c r="A71" s="1" t="s">
        <v>1725</v>
      </c>
      <c r="B71" s="1"/>
      <c r="C71" s="1"/>
      <c r="D71" s="1"/>
      <c r="E71" s="1"/>
      <c r="F71" s="1"/>
      <c r="G71" s="1"/>
      <c r="H71" s="1"/>
    </row>
    <row r="72" spans="1:8" x14ac:dyDescent="0.2">
      <c r="A72" s="1" t="s">
        <v>1734</v>
      </c>
      <c r="B72" s="1"/>
      <c r="C72" s="1"/>
      <c r="D72" s="1"/>
      <c r="E72" s="1"/>
      <c r="F72" s="1"/>
      <c r="G72" s="1"/>
      <c r="H72" s="1"/>
    </row>
    <row r="74" spans="1:8" x14ac:dyDescent="0.2">
      <c r="A74" s="1" t="s">
        <v>1505</v>
      </c>
    </row>
    <row r="75" spans="1:8" ht="17" thickBot="1" x14ac:dyDescent="0.25"/>
    <row r="76" spans="1:8" ht="17" thickBot="1" x14ac:dyDescent="0.25">
      <c r="A76" s="66" t="s">
        <v>1724</v>
      </c>
      <c r="B76" s="153"/>
      <c r="C76" s="153"/>
      <c r="D76" s="153"/>
      <c r="E76" s="153"/>
      <c r="F76" s="153"/>
      <c r="G76" s="153"/>
      <c r="H76" s="154"/>
    </row>
    <row r="78" spans="1:8" s="1" customFormat="1" x14ac:dyDescent="0.2">
      <c r="A78" s="1" t="s">
        <v>1873</v>
      </c>
    </row>
    <row r="79" spans="1:8" s="1" customFormat="1" x14ac:dyDescent="0.2">
      <c r="A79" s="1" t="s">
        <v>1874</v>
      </c>
    </row>
    <row r="80" spans="1:8" s="1" customFormat="1" x14ac:dyDescent="0.2"/>
    <row r="81" spans="1:8" s="1" customFormat="1" x14ac:dyDescent="0.2">
      <c r="C81" s="166">
        <f>RATE(C82,C83,C84,C85)</f>
        <v>6.5000427487210008E-2</v>
      </c>
      <c r="D81" s="2" t="s">
        <v>1267</v>
      </c>
      <c r="E81" s="1" t="s">
        <v>1880</v>
      </c>
    </row>
    <row r="82" spans="1:8" s="1" customFormat="1" x14ac:dyDescent="0.2">
      <c r="C82" s="165">
        <v>3</v>
      </c>
      <c r="D82" s="2" t="s">
        <v>1268</v>
      </c>
      <c r="E82" s="1" t="s">
        <v>1729</v>
      </c>
    </row>
    <row r="83" spans="1:8" s="1" customFormat="1" x14ac:dyDescent="0.2">
      <c r="C83" s="165">
        <v>25000</v>
      </c>
      <c r="D83" s="2" t="s">
        <v>1269</v>
      </c>
      <c r="E83" s="1" t="s">
        <v>1730</v>
      </c>
    </row>
    <row r="84" spans="1:8" s="1" customFormat="1" x14ac:dyDescent="0.2">
      <c r="C84" s="165">
        <f>-100000-3465</f>
        <v>-103465</v>
      </c>
      <c r="D84" s="2" t="s">
        <v>1726</v>
      </c>
      <c r="E84" s="1" t="s">
        <v>1731</v>
      </c>
    </row>
    <row r="85" spans="1:8" s="1" customFormat="1" x14ac:dyDescent="0.2">
      <c r="C85" s="165">
        <v>45000</v>
      </c>
      <c r="D85" s="2" t="s">
        <v>1727</v>
      </c>
      <c r="E85" s="1" t="s">
        <v>1732</v>
      </c>
    </row>
    <row r="86" spans="1:8" s="1" customFormat="1" x14ac:dyDescent="0.2"/>
    <row r="87" spans="1:8" s="1" customFormat="1" x14ac:dyDescent="0.2">
      <c r="A87" s="1" t="s">
        <v>1875</v>
      </c>
    </row>
    <row r="88" spans="1:8" s="1" customFormat="1" x14ac:dyDescent="0.2">
      <c r="B88" s="1" t="s">
        <v>1876</v>
      </c>
      <c r="F88" s="8">
        <v>100000</v>
      </c>
    </row>
    <row r="89" spans="1:8" s="1" customFormat="1" x14ac:dyDescent="0.2">
      <c r="B89" s="1" t="s">
        <v>1877</v>
      </c>
      <c r="F89" s="8">
        <v>3465</v>
      </c>
    </row>
    <row r="90" spans="1:8" s="1" customFormat="1" x14ac:dyDescent="0.2">
      <c r="B90" s="1" t="s">
        <v>1878</v>
      </c>
      <c r="F90" s="8">
        <f>F88+F89</f>
        <v>103465</v>
      </c>
    </row>
    <row r="91" spans="1:8" s="1" customFormat="1" x14ac:dyDescent="0.2"/>
    <row r="92" spans="1:8" s="1" customFormat="1" x14ac:dyDescent="0.2">
      <c r="A92" s="1" t="s">
        <v>1879</v>
      </c>
    </row>
    <row r="93" spans="1:8" ht="17" thickBot="1" x14ac:dyDescent="0.25"/>
    <row r="94" spans="1:8" ht="17" thickBot="1" x14ac:dyDescent="0.25">
      <c r="A94" s="66" t="s">
        <v>1725</v>
      </c>
      <c r="B94" s="153"/>
      <c r="C94" s="153"/>
      <c r="D94" s="153"/>
      <c r="E94" s="153"/>
      <c r="F94" s="153"/>
      <c r="G94" s="153"/>
      <c r="H94" s="154"/>
    </row>
    <row r="96" spans="1:8" x14ac:dyDescent="0.2">
      <c r="A96" s="1" t="s">
        <v>1882</v>
      </c>
    </row>
    <row r="97" spans="1:8" x14ac:dyDescent="0.2">
      <c r="A97" s="1" t="s">
        <v>1881</v>
      </c>
    </row>
    <row r="99" spans="1:8" x14ac:dyDescent="0.2">
      <c r="C99" s="167">
        <f>RATE(C100,C101,C102,C103)</f>
        <v>8.0696349403516082E-2</v>
      </c>
      <c r="D99" s="2" t="s">
        <v>1267</v>
      </c>
      <c r="E99" s="1" t="s">
        <v>1728</v>
      </c>
      <c r="F99" s="1"/>
      <c r="G99" s="1"/>
      <c r="H99" s="1"/>
    </row>
    <row r="100" spans="1:8" x14ac:dyDescent="0.2">
      <c r="C100" s="165">
        <v>3</v>
      </c>
      <c r="D100" s="2" t="s">
        <v>1268</v>
      </c>
      <c r="E100" s="1" t="s">
        <v>1729</v>
      </c>
      <c r="F100" s="1"/>
      <c r="G100" s="1"/>
      <c r="H100" s="1"/>
    </row>
    <row r="101" spans="1:8" x14ac:dyDescent="0.2">
      <c r="C101" s="165">
        <v>25000</v>
      </c>
      <c r="D101" s="2" t="s">
        <v>1269</v>
      </c>
      <c r="E101" s="1" t="s">
        <v>1730</v>
      </c>
      <c r="F101" s="1"/>
      <c r="G101" s="1"/>
      <c r="H101" s="1"/>
    </row>
    <row r="102" spans="1:8" x14ac:dyDescent="0.2">
      <c r="C102" s="165">
        <v>-100000</v>
      </c>
      <c r="D102" s="2" t="s">
        <v>1726</v>
      </c>
      <c r="E102" s="1" t="s">
        <v>1733</v>
      </c>
      <c r="F102" s="1"/>
      <c r="G102" s="1"/>
      <c r="H102" s="1"/>
    </row>
    <row r="103" spans="1:8" x14ac:dyDescent="0.2">
      <c r="C103" s="165">
        <v>45000</v>
      </c>
      <c r="D103" s="2" t="s">
        <v>1727</v>
      </c>
      <c r="E103" s="1" t="s">
        <v>1732</v>
      </c>
      <c r="F103" s="1"/>
      <c r="G103" s="1"/>
      <c r="H103" s="1"/>
    </row>
    <row r="104" spans="1:8" ht="17" thickBot="1" x14ac:dyDescent="0.25"/>
    <row r="105" spans="1:8" ht="17" thickBot="1" x14ac:dyDescent="0.25">
      <c r="A105" s="66" t="s">
        <v>1884</v>
      </c>
      <c r="B105" s="153"/>
      <c r="C105" s="153"/>
      <c r="D105" s="153"/>
      <c r="E105" s="153"/>
      <c r="F105" s="153"/>
      <c r="G105" s="153"/>
      <c r="H105" s="154"/>
    </row>
    <row r="107" spans="1:8" x14ac:dyDescent="0.2">
      <c r="C107" s="168">
        <f>C81</f>
        <v>6.5000427487210008E-2</v>
      </c>
      <c r="D107" s="2" t="s">
        <v>1267</v>
      </c>
      <c r="E107" s="1" t="s">
        <v>1883</v>
      </c>
      <c r="F107" s="1"/>
      <c r="G107" s="1"/>
      <c r="H107" s="1"/>
    </row>
    <row r="108" spans="1:8" x14ac:dyDescent="0.2">
      <c r="C108" s="169">
        <v>3</v>
      </c>
      <c r="D108" s="2" t="s">
        <v>1268</v>
      </c>
      <c r="E108" s="1" t="s">
        <v>1736</v>
      </c>
      <c r="F108" s="1"/>
      <c r="G108" s="1"/>
      <c r="H108" s="1"/>
    </row>
    <row r="109" spans="1:8" x14ac:dyDescent="0.2">
      <c r="C109" s="170">
        <v>-25000</v>
      </c>
      <c r="D109" s="2" t="s">
        <v>1269</v>
      </c>
      <c r="E109" s="1" t="s">
        <v>1730</v>
      </c>
      <c r="F109" s="1"/>
      <c r="G109" s="1"/>
      <c r="H109" s="1"/>
    </row>
    <row r="110" spans="1:8" x14ac:dyDescent="0.2">
      <c r="C110" s="171">
        <f>PV(C107,C108,C109,C111)</f>
        <v>66211.835728746606</v>
      </c>
      <c r="D110" s="2" t="s">
        <v>1726</v>
      </c>
      <c r="E110" s="1" t="s">
        <v>1737</v>
      </c>
      <c r="F110" s="1"/>
      <c r="G110" s="1"/>
      <c r="H110" s="1"/>
    </row>
    <row r="111" spans="1:8" x14ac:dyDescent="0.2">
      <c r="C111" s="169">
        <v>0</v>
      </c>
      <c r="D111" s="2" t="s">
        <v>1727</v>
      </c>
      <c r="E111" s="1" t="s">
        <v>1735</v>
      </c>
      <c r="F111" s="1"/>
      <c r="G111" s="1"/>
      <c r="H111" s="1"/>
    </row>
    <row r="112" spans="1:8" x14ac:dyDescent="0.2">
      <c r="C112" s="169"/>
      <c r="D112" s="2"/>
      <c r="E112" s="1"/>
      <c r="F112" s="1"/>
      <c r="G112" s="1"/>
      <c r="H112" s="1"/>
    </row>
    <row r="113" spans="1:7" s="1" customFormat="1" x14ac:dyDescent="0.2">
      <c r="A113" s="1" t="s">
        <v>1885</v>
      </c>
      <c r="C113" s="169"/>
      <c r="D113" s="2"/>
    </row>
    <row r="114" spans="1:7" s="1" customFormat="1" x14ac:dyDescent="0.2">
      <c r="A114" s="1" t="s">
        <v>1886</v>
      </c>
      <c r="C114" s="169"/>
      <c r="D114" s="2"/>
    </row>
    <row r="115" spans="1:7" s="1" customFormat="1" x14ac:dyDescent="0.2">
      <c r="A115" s="1" t="s">
        <v>1887</v>
      </c>
      <c r="C115" s="169"/>
      <c r="D115" s="2"/>
    </row>
    <row r="116" spans="1:7" s="1" customFormat="1" x14ac:dyDescent="0.2">
      <c r="A116" s="1" t="s">
        <v>1888</v>
      </c>
      <c r="C116" s="169"/>
      <c r="D116" s="2"/>
    </row>
    <row r="117" spans="1:7" s="1" customFormat="1" x14ac:dyDescent="0.2">
      <c r="A117" s="1" t="s">
        <v>1889</v>
      </c>
      <c r="C117" s="169"/>
      <c r="D117" s="2"/>
    </row>
    <row r="118" spans="1:7" s="1" customFormat="1" x14ac:dyDescent="0.2">
      <c r="A118" s="1" t="s">
        <v>1890</v>
      </c>
      <c r="C118" s="169"/>
      <c r="D118" s="2"/>
    </row>
    <row r="119" spans="1:7" s="1" customFormat="1" x14ac:dyDescent="0.2">
      <c r="A119" s="1" t="s">
        <v>1891</v>
      </c>
      <c r="C119" s="169"/>
      <c r="D119" s="2"/>
    </row>
    <row r="120" spans="1:7" s="1" customFormat="1" x14ac:dyDescent="0.2">
      <c r="A120" s="1" t="s">
        <v>1892</v>
      </c>
      <c r="C120" s="169"/>
      <c r="D120" s="2"/>
      <c r="G120" s="1" t="s">
        <v>1893</v>
      </c>
    </row>
    <row r="121" spans="1:7" s="1" customFormat="1" x14ac:dyDescent="0.2">
      <c r="C121" s="169"/>
      <c r="D121" s="2"/>
    </row>
    <row r="145" spans="1:8" x14ac:dyDescent="0.2">
      <c r="A145" s="6" t="s">
        <v>1738</v>
      </c>
      <c r="B145" s="6"/>
      <c r="C145" s="6"/>
      <c r="D145" s="6"/>
      <c r="E145" s="6"/>
      <c r="F145" s="6"/>
      <c r="G145" s="6"/>
      <c r="H145" s="152"/>
    </row>
    <row r="147" spans="1:8" x14ac:dyDescent="0.2">
      <c r="A147" s="1" t="s">
        <v>1739</v>
      </c>
      <c r="B147" s="1"/>
      <c r="C147" s="1"/>
      <c r="D147" s="1"/>
      <c r="E147" s="1"/>
      <c r="F147" s="1"/>
      <c r="G147" s="1"/>
      <c r="H147" s="1"/>
    </row>
    <row r="148" spans="1:8" x14ac:dyDescent="0.2">
      <c r="A148" s="1" t="s">
        <v>1740</v>
      </c>
      <c r="B148" s="1"/>
      <c r="C148" s="1"/>
      <c r="D148" s="1"/>
      <c r="E148" s="1"/>
      <c r="F148" s="1"/>
      <c r="G148" s="1"/>
      <c r="H148" s="1"/>
    </row>
    <row r="149" spans="1:8" x14ac:dyDescent="0.2">
      <c r="A149" s="1" t="s">
        <v>1894</v>
      </c>
      <c r="B149" s="1"/>
      <c r="C149" s="1"/>
      <c r="D149" s="1"/>
      <c r="E149" s="1"/>
      <c r="F149" s="1"/>
      <c r="G149" s="1"/>
      <c r="H149" s="1"/>
    </row>
    <row r="150" spans="1:8" x14ac:dyDescent="0.2">
      <c r="A150" s="1" t="s">
        <v>1741</v>
      </c>
      <c r="B150" s="1"/>
      <c r="C150" s="1"/>
      <c r="D150" s="1"/>
      <c r="E150" s="1"/>
      <c r="F150" s="1"/>
      <c r="G150" s="1"/>
      <c r="H150" s="1"/>
    </row>
    <row r="151" spans="1:8" x14ac:dyDescent="0.2">
      <c r="A151" s="1" t="s">
        <v>1742</v>
      </c>
      <c r="B151" s="1"/>
      <c r="C151" s="1"/>
      <c r="D151" s="1"/>
      <c r="E151" s="1"/>
      <c r="F151" s="1"/>
      <c r="G151" s="1"/>
      <c r="H151" s="1"/>
    </row>
    <row r="152" spans="1:8" x14ac:dyDescent="0.2">
      <c r="A152" s="1" t="s">
        <v>1743</v>
      </c>
      <c r="B152" s="1"/>
      <c r="C152" s="1"/>
      <c r="D152" s="1"/>
      <c r="E152" s="1"/>
      <c r="F152" s="1"/>
      <c r="G152" s="1"/>
      <c r="H152" s="1"/>
    </row>
    <row r="153" spans="1:8" x14ac:dyDescent="0.2">
      <c r="A153" s="1" t="s">
        <v>1744</v>
      </c>
      <c r="B153" s="1"/>
      <c r="C153" s="1"/>
      <c r="D153" s="1"/>
      <c r="E153" s="1"/>
      <c r="F153" s="1"/>
      <c r="G153" s="1"/>
      <c r="H153" s="1"/>
    </row>
    <row r="154" spans="1:8" x14ac:dyDescent="0.2">
      <c r="A154" s="1" t="s">
        <v>1745</v>
      </c>
      <c r="B154" s="1"/>
      <c r="C154" s="1"/>
      <c r="D154" s="1"/>
      <c r="E154" s="1"/>
      <c r="F154" s="1"/>
      <c r="G154" s="1"/>
      <c r="H154" s="1"/>
    </row>
    <row r="155" spans="1:8" x14ac:dyDescent="0.2">
      <c r="A155" s="1" t="s">
        <v>1746</v>
      </c>
      <c r="B155" s="1"/>
      <c r="C155" s="1"/>
      <c r="D155" s="1"/>
      <c r="E155" s="1"/>
      <c r="F155" s="1"/>
      <c r="G155" s="1"/>
      <c r="H155" s="1"/>
    </row>
    <row r="157" spans="1:8" x14ac:dyDescent="0.2">
      <c r="A157" s="3" t="s">
        <v>1898</v>
      </c>
    </row>
    <row r="158" spans="1:8" ht="17" thickBot="1" x14ac:dyDescent="0.25"/>
    <row r="159" spans="1:8" ht="17" thickBot="1" x14ac:dyDescent="0.25">
      <c r="A159" s="66" t="s">
        <v>1747</v>
      </c>
      <c r="B159" s="153"/>
      <c r="C159" s="153"/>
      <c r="D159" s="153"/>
      <c r="E159" s="153"/>
      <c r="F159" s="153"/>
      <c r="G159" s="153"/>
      <c r="H159" s="154"/>
    </row>
    <row r="161" spans="1:8" x14ac:dyDescent="0.2">
      <c r="A161" s="156" t="s">
        <v>1756</v>
      </c>
    </row>
    <row r="162" spans="1:8" s="1" customFormat="1" x14ac:dyDescent="0.2">
      <c r="A162" s="1" t="s">
        <v>1748</v>
      </c>
    </row>
    <row r="163" spans="1:8" s="1" customFormat="1" x14ac:dyDescent="0.2">
      <c r="A163" s="1" t="s">
        <v>1749</v>
      </c>
    </row>
    <row r="164" spans="1:8" s="1" customFormat="1" x14ac:dyDescent="0.2"/>
    <row r="165" spans="1:8" x14ac:dyDescent="0.2">
      <c r="D165" s="172">
        <v>0.05</v>
      </c>
      <c r="E165" s="1" t="s">
        <v>1267</v>
      </c>
      <c r="F165" s="1" t="s">
        <v>1895</v>
      </c>
    </row>
    <row r="166" spans="1:8" x14ac:dyDescent="0.2">
      <c r="D166" s="165">
        <v>3</v>
      </c>
      <c r="E166" s="1" t="s">
        <v>1268</v>
      </c>
      <c r="F166" s="1" t="s">
        <v>1896</v>
      </c>
    </row>
    <row r="167" spans="1:8" x14ac:dyDescent="0.2">
      <c r="D167" s="173">
        <v>-80000</v>
      </c>
      <c r="E167" s="1" t="s">
        <v>1269</v>
      </c>
      <c r="F167" s="1" t="s">
        <v>1897</v>
      </c>
    </row>
    <row r="168" spans="1:8" x14ac:dyDescent="0.2">
      <c r="C168" s="1" t="str">
        <f ca="1">_xlfn.FORMULATEXT(D168)</f>
        <v>=PV(D165,D166,D167,D169,1)</v>
      </c>
      <c r="D168" s="174">
        <f>PV(D165,D166,D167,D169,1)</f>
        <v>235663.53525537218</v>
      </c>
      <c r="E168" s="1" t="s">
        <v>1726</v>
      </c>
      <c r="F168" s="1" t="s">
        <v>1900</v>
      </c>
    </row>
    <row r="169" spans="1:8" s="162" customFormat="1" x14ac:dyDescent="0.2">
      <c r="D169" s="173">
        <v>-8000</v>
      </c>
      <c r="E169" s="96" t="s">
        <v>1727</v>
      </c>
      <c r="F169" s="96" t="s">
        <v>1899</v>
      </c>
    </row>
    <row r="171" spans="1:8" x14ac:dyDescent="0.2">
      <c r="A171" s="1" t="s">
        <v>1901</v>
      </c>
    </row>
    <row r="173" spans="1:8" x14ac:dyDescent="0.2">
      <c r="A173" s="156" t="s">
        <v>1902</v>
      </c>
    </row>
    <row r="174" spans="1:8" x14ac:dyDescent="0.2">
      <c r="A174" s="1" t="s">
        <v>1750</v>
      </c>
      <c r="B174" s="1"/>
      <c r="C174" s="1"/>
      <c r="D174" s="1"/>
      <c r="E174" s="1"/>
      <c r="F174" s="1"/>
      <c r="G174" s="1"/>
      <c r="H174" s="1"/>
    </row>
    <row r="175" spans="1:8" x14ac:dyDescent="0.2">
      <c r="A175" s="1"/>
      <c r="B175" s="1"/>
      <c r="C175" s="1"/>
      <c r="D175" s="1"/>
      <c r="E175" s="1"/>
      <c r="F175" s="1"/>
      <c r="G175" s="1"/>
      <c r="H175" s="1"/>
    </row>
    <row r="176" spans="1:8" x14ac:dyDescent="0.2">
      <c r="A176" s="1"/>
      <c r="B176" s="1" t="s">
        <v>1751</v>
      </c>
      <c r="C176" s="1"/>
      <c r="D176" s="1"/>
      <c r="E176" s="173">
        <f>D168</f>
        <v>235663.53525537218</v>
      </c>
      <c r="F176" s="1"/>
      <c r="G176" s="1"/>
      <c r="H176" s="1"/>
    </row>
    <row r="177" spans="1:8" x14ac:dyDescent="0.2">
      <c r="A177" s="1"/>
      <c r="B177" s="1" t="s">
        <v>1752</v>
      </c>
      <c r="C177" s="1"/>
      <c r="D177" s="1"/>
      <c r="E177" s="173">
        <v>1500</v>
      </c>
      <c r="F177" s="1" t="s">
        <v>1903</v>
      </c>
      <c r="G177" s="1"/>
      <c r="H177" s="1"/>
    </row>
    <row r="178" spans="1:8" x14ac:dyDescent="0.2">
      <c r="A178" s="1"/>
      <c r="B178" s="1" t="s">
        <v>1753</v>
      </c>
      <c r="C178" s="1"/>
      <c r="D178" s="1"/>
      <c r="E178" s="169">
        <v>-2500</v>
      </c>
      <c r="F178" s="1" t="s">
        <v>1771</v>
      </c>
      <c r="G178" s="1"/>
      <c r="H178" s="1"/>
    </row>
    <row r="179" spans="1:8" x14ac:dyDescent="0.2">
      <c r="A179" s="1"/>
      <c r="B179" s="1" t="s">
        <v>1754</v>
      </c>
      <c r="C179" s="1"/>
      <c r="D179" s="1"/>
      <c r="E179" s="175">
        <f>SUM(E176:E178)</f>
        <v>234663.53525537218</v>
      </c>
      <c r="F179" s="1"/>
      <c r="G179" s="1"/>
      <c r="H179" s="1"/>
    </row>
    <row r="180" spans="1:8" x14ac:dyDescent="0.2">
      <c r="A180" s="1"/>
      <c r="B180" s="1"/>
      <c r="C180" s="1"/>
      <c r="D180" s="1"/>
      <c r="E180" s="1"/>
      <c r="F180" s="1"/>
      <c r="G180" s="1"/>
      <c r="H180" s="1"/>
    </row>
    <row r="181" spans="1:8" x14ac:dyDescent="0.2">
      <c r="A181" s="156" t="s">
        <v>1758</v>
      </c>
      <c r="B181" s="1"/>
      <c r="C181" s="1"/>
      <c r="D181" s="1"/>
      <c r="E181" s="1"/>
      <c r="F181" s="1"/>
      <c r="G181" s="1"/>
      <c r="H181" s="1"/>
    </row>
    <row r="182" spans="1:8" x14ac:dyDescent="0.2">
      <c r="A182" s="1" t="s">
        <v>1904</v>
      </c>
      <c r="B182" s="1"/>
      <c r="C182" s="1"/>
      <c r="D182" s="1"/>
      <c r="E182" s="1"/>
      <c r="F182" s="1"/>
      <c r="G182" s="1"/>
      <c r="H182" s="1"/>
    </row>
    <row r="183" spans="1:8" x14ac:dyDescent="0.2">
      <c r="A183" s="1" t="s">
        <v>1905</v>
      </c>
      <c r="B183" s="1"/>
      <c r="C183" s="1"/>
      <c r="D183" s="1"/>
      <c r="E183" s="1"/>
      <c r="F183" s="1"/>
      <c r="G183" s="1"/>
      <c r="H183" s="1"/>
    </row>
    <row r="184" spans="1:8" x14ac:dyDescent="0.2">
      <c r="D184" s="172">
        <v>0.05</v>
      </c>
      <c r="E184" s="1" t="s">
        <v>1267</v>
      </c>
      <c r="F184" s="1" t="s">
        <v>1906</v>
      </c>
    </row>
    <row r="185" spans="1:8" x14ac:dyDescent="0.2">
      <c r="D185" s="165">
        <v>2</v>
      </c>
      <c r="E185" s="1" t="s">
        <v>1268</v>
      </c>
      <c r="F185" s="1" t="s">
        <v>1907</v>
      </c>
      <c r="G185" s="1"/>
      <c r="H185" s="1"/>
    </row>
    <row r="186" spans="1:8" x14ac:dyDescent="0.2">
      <c r="D186" s="173">
        <v>-80000</v>
      </c>
      <c r="E186" s="1" t="s">
        <v>1269</v>
      </c>
      <c r="F186" s="1" t="s">
        <v>1908</v>
      </c>
      <c r="G186" s="1"/>
      <c r="H186" s="1"/>
    </row>
    <row r="187" spans="1:8" x14ac:dyDescent="0.2">
      <c r="C187" s="1" t="str">
        <f ca="1">_xlfn.FORMULATEXT(D187)</f>
        <v>=PV(D184,D185,D186,D188,1)</v>
      </c>
      <c r="D187" s="174">
        <f>PV(D184,D185,D186,D188,1)</f>
        <v>163446.71201814065</v>
      </c>
      <c r="E187" s="1" t="s">
        <v>1726</v>
      </c>
      <c r="F187" s="1"/>
      <c r="G187" s="1"/>
      <c r="H187" s="1"/>
    </row>
    <row r="188" spans="1:8" x14ac:dyDescent="0.2">
      <c r="D188" s="173">
        <v>-8000</v>
      </c>
      <c r="E188" s="1" t="s">
        <v>1727</v>
      </c>
      <c r="F188" s="1" t="s">
        <v>1909</v>
      </c>
      <c r="G188" s="1"/>
      <c r="H188" s="1"/>
    </row>
    <row r="190" spans="1:8" x14ac:dyDescent="0.2">
      <c r="A190" s="156" t="s">
        <v>1763</v>
      </c>
      <c r="B190" s="1"/>
      <c r="C190" s="1"/>
      <c r="D190" s="1"/>
      <c r="E190" s="1"/>
      <c r="F190" s="1"/>
      <c r="G190" s="1"/>
      <c r="H190" s="1"/>
    </row>
    <row r="191" spans="1:8" x14ac:dyDescent="0.2">
      <c r="B191" s="16" t="s">
        <v>120</v>
      </c>
      <c r="C191" s="16" t="s">
        <v>490</v>
      </c>
      <c r="D191" s="16"/>
      <c r="E191" s="16" t="s">
        <v>466</v>
      </c>
    </row>
    <row r="192" spans="1:8" x14ac:dyDescent="0.2">
      <c r="B192" s="7">
        <v>42736</v>
      </c>
      <c r="C192" s="1" t="s">
        <v>1755</v>
      </c>
      <c r="D192" s="1"/>
      <c r="E192" s="157">
        <f>D168</f>
        <v>235663.53525537218</v>
      </c>
      <c r="F192" s="1" t="s">
        <v>1910</v>
      </c>
    </row>
    <row r="193" spans="1:8" x14ac:dyDescent="0.2">
      <c r="B193" s="7">
        <v>42736</v>
      </c>
      <c r="C193" s="1" t="s">
        <v>1764</v>
      </c>
      <c r="D193" s="1"/>
      <c r="E193" s="80">
        <f>-80000</f>
        <v>-80000</v>
      </c>
    </row>
    <row r="194" spans="1:8" x14ac:dyDescent="0.2">
      <c r="B194" s="1">
        <v>2017</v>
      </c>
      <c r="C194" s="1" t="s">
        <v>1765</v>
      </c>
      <c r="D194" s="1"/>
      <c r="E194" s="177">
        <f>E195-E193-E192</f>
        <v>7783.1767627684749</v>
      </c>
    </row>
    <row r="195" spans="1:8" x14ac:dyDescent="0.2">
      <c r="B195" s="7">
        <v>43100</v>
      </c>
      <c r="C195" s="1" t="s">
        <v>1755</v>
      </c>
      <c r="D195" s="1"/>
      <c r="E195" s="176">
        <f>D187</f>
        <v>163446.71201814065</v>
      </c>
      <c r="F195" s="1" t="s">
        <v>1911</v>
      </c>
      <c r="G195" s="1"/>
      <c r="H195" s="1"/>
    </row>
    <row r="197" spans="1:8" x14ac:dyDescent="0.2">
      <c r="A197" s="156" t="s">
        <v>1762</v>
      </c>
      <c r="B197" s="1"/>
      <c r="C197" s="1"/>
      <c r="D197" s="1"/>
      <c r="E197" s="1"/>
      <c r="F197" s="1"/>
      <c r="G197" s="1"/>
      <c r="H197" s="1"/>
    </row>
    <row r="199" spans="1:8" x14ac:dyDescent="0.2">
      <c r="B199" s="1" t="s">
        <v>1759</v>
      </c>
      <c r="E199" s="80">
        <f>D187</f>
        <v>163446.71201814065</v>
      </c>
      <c r="F199" s="1" t="s">
        <v>1913</v>
      </c>
    </row>
    <row r="200" spans="1:8" x14ac:dyDescent="0.2">
      <c r="B200" s="1" t="s">
        <v>1760</v>
      </c>
      <c r="E200" s="80">
        <v>-80000</v>
      </c>
      <c r="F200" s="1" t="s">
        <v>1912</v>
      </c>
    </row>
    <row r="201" spans="1:8" x14ac:dyDescent="0.2">
      <c r="B201" s="1" t="s">
        <v>1761</v>
      </c>
      <c r="E201" s="81">
        <f>E199+E200</f>
        <v>83446.71201814065</v>
      </c>
      <c r="F201" s="1" t="s">
        <v>1914</v>
      </c>
    </row>
    <row r="203" spans="1:8" x14ac:dyDescent="0.2">
      <c r="A203" s="156" t="s">
        <v>1766</v>
      </c>
    </row>
    <row r="204" spans="1:8" x14ac:dyDescent="0.2">
      <c r="A204" s="1" t="s">
        <v>1767</v>
      </c>
    </row>
    <row r="205" spans="1:8" x14ac:dyDescent="0.2">
      <c r="A205" s="1" t="s">
        <v>1768</v>
      </c>
    </row>
    <row r="206" spans="1:8" s="1" customFormat="1" x14ac:dyDescent="0.2">
      <c r="A206" s="1" t="s">
        <v>1769</v>
      </c>
    </row>
    <row r="207" spans="1:8" s="1" customFormat="1" x14ac:dyDescent="0.2"/>
    <row r="208" spans="1:8" s="96" customFormat="1" x14ac:dyDescent="0.2">
      <c r="B208" s="96" t="s">
        <v>1770</v>
      </c>
      <c r="E208" s="177">
        <f>E179/5</f>
        <v>46932.707051074438</v>
      </c>
      <c r="G208" s="96" t="s">
        <v>1915</v>
      </c>
    </row>
    <row r="209" spans="1:4" s="1" customFormat="1" x14ac:dyDescent="0.2"/>
    <row r="210" spans="1:4" s="1" customFormat="1" x14ac:dyDescent="0.2">
      <c r="A210" s="156" t="s">
        <v>1772</v>
      </c>
    </row>
    <row r="211" spans="1:4" s="1" customFormat="1" x14ac:dyDescent="0.2">
      <c r="A211" s="156"/>
    </row>
    <row r="212" spans="1:4" s="1" customFormat="1" x14ac:dyDescent="0.2">
      <c r="A212" s="3" t="s">
        <v>1776</v>
      </c>
      <c r="B212" s="3"/>
      <c r="D212" s="63">
        <v>43100</v>
      </c>
    </row>
    <row r="213" spans="1:4" s="1" customFormat="1" x14ac:dyDescent="0.2">
      <c r="A213" s="1" t="s">
        <v>1773</v>
      </c>
      <c r="D213" s="158">
        <f>E179</f>
        <v>234663.53525537218</v>
      </c>
    </row>
    <row r="214" spans="1:4" s="1" customFormat="1" x14ac:dyDescent="0.2">
      <c r="A214" s="1" t="s">
        <v>1774</v>
      </c>
      <c r="D214" s="80">
        <f>-E208</f>
        <v>-46932.707051074438</v>
      </c>
    </row>
    <row r="215" spans="1:4" s="1" customFormat="1" x14ac:dyDescent="0.2">
      <c r="A215" s="1" t="s">
        <v>1775</v>
      </c>
      <c r="D215" s="159">
        <f>D213+D214</f>
        <v>187730.82820429775</v>
      </c>
    </row>
    <row r="216" spans="1:4" s="1" customFormat="1" x14ac:dyDescent="0.2"/>
    <row r="217" spans="1:4" s="1" customFormat="1" x14ac:dyDescent="0.2">
      <c r="A217" s="1" t="s">
        <v>1783</v>
      </c>
      <c r="D217" s="80">
        <f>-E200</f>
        <v>80000</v>
      </c>
    </row>
    <row r="218" spans="1:4" s="1" customFormat="1" x14ac:dyDescent="0.2">
      <c r="A218" s="1" t="s">
        <v>1784</v>
      </c>
      <c r="D218" s="80">
        <f>E201</f>
        <v>83446.71201814065</v>
      </c>
    </row>
    <row r="219" spans="1:4" s="1" customFormat="1" x14ac:dyDescent="0.2"/>
    <row r="220" spans="1:4" s="1" customFormat="1" x14ac:dyDescent="0.2">
      <c r="A220" s="3" t="s">
        <v>1777</v>
      </c>
      <c r="B220" s="3"/>
      <c r="C220" s="3"/>
      <c r="D220" s="178">
        <v>2017</v>
      </c>
    </row>
    <row r="221" spans="1:4" s="1" customFormat="1" x14ac:dyDescent="0.2">
      <c r="A221" s="1" t="s">
        <v>1778</v>
      </c>
      <c r="D221" s="157">
        <f>E208</f>
        <v>46932.707051074438</v>
      </c>
    </row>
    <row r="222" spans="1:4" s="1" customFormat="1" x14ac:dyDescent="0.2">
      <c r="A222" s="1" t="s">
        <v>1780</v>
      </c>
      <c r="D222" s="157">
        <f>E194</f>
        <v>7783.1767627684749</v>
      </c>
    </row>
    <row r="223" spans="1:4" s="1" customFormat="1" x14ac:dyDescent="0.2">
      <c r="A223" s="1" t="s">
        <v>1779</v>
      </c>
      <c r="D223" s="80">
        <f>-E178</f>
        <v>2500</v>
      </c>
    </row>
    <row r="224" spans="1:4" ht="17" thickBot="1" x14ac:dyDescent="0.25"/>
    <row r="225" spans="1:8" ht="17" thickBot="1" x14ac:dyDescent="0.25">
      <c r="A225" s="66" t="s">
        <v>1781</v>
      </c>
      <c r="B225" s="153"/>
      <c r="C225" s="153"/>
      <c r="D225" s="153"/>
      <c r="E225" s="153"/>
      <c r="F225" s="153"/>
      <c r="G225" s="153"/>
      <c r="H225" s="154"/>
    </row>
    <row r="227" spans="1:8" x14ac:dyDescent="0.2">
      <c r="A227" s="1" t="s">
        <v>1916</v>
      </c>
    </row>
    <row r="228" spans="1:8" x14ac:dyDescent="0.2">
      <c r="A228" s="1" t="s">
        <v>1917</v>
      </c>
    </row>
    <row r="230" spans="1:8" x14ac:dyDescent="0.2">
      <c r="A230" s="156" t="s">
        <v>1758</v>
      </c>
      <c r="B230" s="1"/>
      <c r="C230" s="1"/>
      <c r="D230" s="1"/>
      <c r="E230" s="1"/>
      <c r="F230" s="1"/>
      <c r="G230" s="1"/>
      <c r="H230" s="1"/>
    </row>
    <row r="231" spans="1:8" x14ac:dyDescent="0.2">
      <c r="A231" s="1"/>
      <c r="B231" s="1"/>
      <c r="C231" s="1"/>
      <c r="D231" s="1"/>
      <c r="E231" s="1"/>
      <c r="F231" s="1"/>
      <c r="G231" s="1"/>
      <c r="H231" s="1"/>
    </row>
    <row r="232" spans="1:8" x14ac:dyDescent="0.2">
      <c r="D232" s="172">
        <v>0.05</v>
      </c>
      <c r="E232" s="1" t="s">
        <v>1267</v>
      </c>
    </row>
    <row r="233" spans="1:8" x14ac:dyDescent="0.2">
      <c r="D233" s="179">
        <v>1</v>
      </c>
      <c r="E233" s="1" t="s">
        <v>1268</v>
      </c>
    </row>
    <row r="234" spans="1:8" x14ac:dyDescent="0.2">
      <c r="D234" s="173">
        <v>-80000</v>
      </c>
      <c r="E234" s="1" t="s">
        <v>1269</v>
      </c>
    </row>
    <row r="235" spans="1:8" x14ac:dyDescent="0.2">
      <c r="D235" s="174">
        <f>PV(D232,D233,D234,D236,1)</f>
        <v>87619.047619047691</v>
      </c>
      <c r="E235" s="1" t="s">
        <v>1726</v>
      </c>
    </row>
    <row r="236" spans="1:8" x14ac:dyDescent="0.2">
      <c r="D236" s="173">
        <v>-8000</v>
      </c>
      <c r="E236" s="1" t="s">
        <v>1727</v>
      </c>
    </row>
    <row r="238" spans="1:8" x14ac:dyDescent="0.2">
      <c r="A238" s="156" t="s">
        <v>1763</v>
      </c>
      <c r="B238" s="1"/>
      <c r="C238" s="1"/>
      <c r="D238" s="1"/>
      <c r="E238" s="1"/>
      <c r="F238" s="1"/>
      <c r="G238" s="1"/>
      <c r="H238" s="1"/>
    </row>
    <row r="239" spans="1:8" x14ac:dyDescent="0.2">
      <c r="B239" s="16" t="s">
        <v>120</v>
      </c>
      <c r="C239" s="16" t="s">
        <v>490</v>
      </c>
      <c r="D239" s="16"/>
      <c r="E239" s="16" t="s">
        <v>466</v>
      </c>
    </row>
    <row r="240" spans="1:8" x14ac:dyDescent="0.2">
      <c r="B240" s="7">
        <v>43100</v>
      </c>
      <c r="C240" s="1" t="s">
        <v>1755</v>
      </c>
      <c r="D240" s="1"/>
      <c r="E240" s="157">
        <f>E195</f>
        <v>163446.71201814065</v>
      </c>
    </row>
    <row r="241" spans="1:8" x14ac:dyDescent="0.2">
      <c r="B241" s="7">
        <v>43101</v>
      </c>
      <c r="C241" s="1" t="s">
        <v>1764</v>
      </c>
      <c r="D241" s="1"/>
      <c r="E241" s="80">
        <f>-80000</f>
        <v>-80000</v>
      </c>
    </row>
    <row r="242" spans="1:8" x14ac:dyDescent="0.2">
      <c r="B242" s="1">
        <v>2018</v>
      </c>
      <c r="C242" s="1" t="s">
        <v>1765</v>
      </c>
      <c r="D242" s="1"/>
      <c r="E242" s="177">
        <f>E243-E241-E240</f>
        <v>4172.3356009070412</v>
      </c>
      <c r="F242" s="162"/>
      <c r="G242" s="162"/>
    </row>
    <row r="243" spans="1:8" x14ac:dyDescent="0.2">
      <c r="B243" s="7">
        <v>43465</v>
      </c>
      <c r="C243" s="1" t="s">
        <v>1755</v>
      </c>
      <c r="D243" s="1"/>
      <c r="E243" s="176">
        <f>D235</f>
        <v>87619.047619047691</v>
      </c>
    </row>
    <row r="245" spans="1:8" x14ac:dyDescent="0.2">
      <c r="A245" s="156" t="s">
        <v>1762</v>
      </c>
      <c r="B245" s="1"/>
      <c r="C245" s="1"/>
      <c r="D245" s="1"/>
      <c r="E245" s="1"/>
      <c r="F245" s="1"/>
      <c r="G245" s="1"/>
      <c r="H245" s="1"/>
    </row>
    <row r="247" spans="1:8" x14ac:dyDescent="0.2">
      <c r="B247" s="1" t="s">
        <v>1785</v>
      </c>
      <c r="E247" s="80">
        <f>E243</f>
        <v>87619.047619047691</v>
      </c>
    </row>
    <row r="248" spans="1:8" x14ac:dyDescent="0.2">
      <c r="B248" s="1" t="s">
        <v>1760</v>
      </c>
      <c r="E248" s="80">
        <f>-E243</f>
        <v>-87619.047619047691</v>
      </c>
      <c r="F248" s="1" t="s">
        <v>1918</v>
      </c>
    </row>
    <row r="249" spans="1:8" x14ac:dyDescent="0.2">
      <c r="B249" s="1" t="s">
        <v>1761</v>
      </c>
      <c r="E249" s="180">
        <f>E247+E248</f>
        <v>0</v>
      </c>
    </row>
    <row r="251" spans="1:8" x14ac:dyDescent="0.2">
      <c r="A251" s="156" t="s">
        <v>1766</v>
      </c>
    </row>
    <row r="252" spans="1:8" x14ac:dyDescent="0.2">
      <c r="A252" s="1" t="s">
        <v>1767</v>
      </c>
    </row>
    <row r="253" spans="1:8" x14ac:dyDescent="0.2">
      <c r="A253" s="1" t="s">
        <v>1768</v>
      </c>
    </row>
    <row r="254" spans="1:8" s="1" customFormat="1" x14ac:dyDescent="0.2">
      <c r="A254" s="1" t="s">
        <v>1769</v>
      </c>
    </row>
    <row r="255" spans="1:8" s="1" customFormat="1" x14ac:dyDescent="0.2"/>
    <row r="256" spans="1:8" s="1" customFormat="1" x14ac:dyDescent="0.2">
      <c r="B256" s="1" t="s">
        <v>1793</v>
      </c>
      <c r="E256" s="177">
        <f>E179/5</f>
        <v>46932.707051074438</v>
      </c>
    </row>
    <row r="257" spans="1:5" s="1" customFormat="1" x14ac:dyDescent="0.2"/>
    <row r="258" spans="1:5" s="1" customFormat="1" x14ac:dyDescent="0.2">
      <c r="A258" s="156" t="s">
        <v>1786</v>
      </c>
    </row>
    <row r="259" spans="1:5" s="1" customFormat="1" x14ac:dyDescent="0.2">
      <c r="A259" s="156"/>
    </row>
    <row r="260" spans="1:5" s="1" customFormat="1" x14ac:dyDescent="0.2">
      <c r="A260" s="1" t="s">
        <v>1776</v>
      </c>
      <c r="D260" s="7">
        <v>43100</v>
      </c>
      <c r="E260" s="7">
        <v>43465</v>
      </c>
    </row>
    <row r="261" spans="1:5" s="1" customFormat="1" x14ac:dyDescent="0.2">
      <c r="A261" s="1" t="s">
        <v>1773</v>
      </c>
      <c r="D261" s="158">
        <f>D213</f>
        <v>234663.53525537218</v>
      </c>
      <c r="E261" s="158">
        <f>D261</f>
        <v>234663.53525537218</v>
      </c>
    </row>
    <row r="262" spans="1:5" s="1" customFormat="1" x14ac:dyDescent="0.2">
      <c r="A262" s="1" t="s">
        <v>1774</v>
      </c>
      <c r="D262" s="80">
        <f>D214</f>
        <v>-46932.707051074438</v>
      </c>
      <c r="E262" s="80">
        <f>D262-E256</f>
        <v>-93865.414102148876</v>
      </c>
    </row>
    <row r="263" spans="1:5" s="1" customFormat="1" x14ac:dyDescent="0.2">
      <c r="A263" s="1" t="s">
        <v>1775</v>
      </c>
      <c r="D263" s="159">
        <f>D261+D262</f>
        <v>187730.82820429775</v>
      </c>
      <c r="E263" s="159">
        <f>E261+E262</f>
        <v>140798.1211532233</v>
      </c>
    </row>
    <row r="264" spans="1:5" s="1" customFormat="1" x14ac:dyDescent="0.2">
      <c r="D264" s="96"/>
      <c r="E264" s="96"/>
    </row>
    <row r="265" spans="1:5" s="1" customFormat="1" x14ac:dyDescent="0.2">
      <c r="A265" s="1" t="s">
        <v>1783</v>
      </c>
      <c r="D265" s="80">
        <f>D217</f>
        <v>80000</v>
      </c>
      <c r="E265" s="80">
        <f>-E248</f>
        <v>87619.047619047691</v>
      </c>
    </row>
    <row r="266" spans="1:5" s="1" customFormat="1" x14ac:dyDescent="0.2">
      <c r="A266" s="1" t="s">
        <v>1787</v>
      </c>
      <c r="D266" s="80">
        <f>D218</f>
        <v>83446.71201814065</v>
      </c>
      <c r="E266" s="80">
        <f>E218</f>
        <v>0</v>
      </c>
    </row>
    <row r="267" spans="1:5" s="1" customFormat="1" x14ac:dyDescent="0.2">
      <c r="D267" s="96"/>
      <c r="E267" s="96"/>
    </row>
    <row r="268" spans="1:5" s="1" customFormat="1" x14ac:dyDescent="0.2">
      <c r="A268" s="1" t="s">
        <v>1777</v>
      </c>
      <c r="D268" s="160">
        <v>2017</v>
      </c>
      <c r="E268" s="160">
        <v>2018</v>
      </c>
    </row>
    <row r="269" spans="1:5" s="1" customFormat="1" x14ac:dyDescent="0.2">
      <c r="A269" s="1" t="s">
        <v>1778</v>
      </c>
      <c r="D269" s="157">
        <f>D221</f>
        <v>46932.707051074438</v>
      </c>
      <c r="E269" s="157">
        <f>E256</f>
        <v>46932.707051074438</v>
      </c>
    </row>
    <row r="270" spans="1:5" s="1" customFormat="1" x14ac:dyDescent="0.2">
      <c r="A270" s="1" t="s">
        <v>1780</v>
      </c>
      <c r="D270" s="157">
        <f>D222</f>
        <v>7783.1767627684749</v>
      </c>
      <c r="E270" s="157">
        <f>E242</f>
        <v>4172.3356009070412</v>
      </c>
    </row>
    <row r="271" spans="1:5" s="1" customFormat="1" x14ac:dyDescent="0.2">
      <c r="A271" s="1" t="s">
        <v>1779</v>
      </c>
      <c r="D271" s="80">
        <f>D223</f>
        <v>2500</v>
      </c>
      <c r="E271" s="80">
        <f>E223</f>
        <v>0</v>
      </c>
    </row>
    <row r="272" spans="1:5" ht="17" thickBot="1" x14ac:dyDescent="0.25"/>
    <row r="273" spans="1:8" ht="17" thickBot="1" x14ac:dyDescent="0.25">
      <c r="A273" s="66" t="s">
        <v>1788</v>
      </c>
      <c r="B273" s="153"/>
      <c r="C273" s="153"/>
      <c r="D273" s="153"/>
      <c r="E273" s="153"/>
      <c r="F273" s="153"/>
      <c r="G273" s="153"/>
      <c r="H273" s="154"/>
    </row>
    <row r="275" spans="1:8" x14ac:dyDescent="0.2">
      <c r="A275" s="1" t="s">
        <v>1782</v>
      </c>
    </row>
    <row r="277" spans="1:8" x14ac:dyDescent="0.2">
      <c r="A277" s="156" t="s">
        <v>1791</v>
      </c>
      <c r="B277" s="1"/>
      <c r="C277" s="1"/>
      <c r="D277" s="1"/>
      <c r="E277" s="1"/>
      <c r="F277" s="1"/>
      <c r="G277" s="1"/>
      <c r="H277" s="1"/>
    </row>
    <row r="278" spans="1:8" x14ac:dyDescent="0.2">
      <c r="A278" s="1"/>
      <c r="B278" s="1"/>
      <c r="C278" s="1"/>
      <c r="D278" s="1"/>
      <c r="E278" s="1"/>
      <c r="F278" s="1"/>
      <c r="G278" s="1"/>
      <c r="H278" s="1"/>
    </row>
    <row r="279" spans="1:8" x14ac:dyDescent="0.2">
      <c r="A279" s="156" t="s">
        <v>1763</v>
      </c>
      <c r="B279" s="1"/>
      <c r="C279" s="1"/>
      <c r="D279" s="1"/>
      <c r="E279" s="1"/>
      <c r="F279" s="1"/>
      <c r="G279" s="1"/>
      <c r="H279" s="1"/>
    </row>
    <row r="280" spans="1:8" x14ac:dyDescent="0.2">
      <c r="A280" s="96" t="s">
        <v>1790</v>
      </c>
      <c r="B280" s="1"/>
      <c r="C280" s="1"/>
      <c r="D280" s="1"/>
      <c r="E280" s="1"/>
      <c r="F280" s="1"/>
      <c r="G280" s="1"/>
      <c r="H280" s="1"/>
    </row>
    <row r="281" spans="1:8" x14ac:dyDescent="0.2">
      <c r="A281" s="156"/>
      <c r="B281" s="1"/>
      <c r="C281" s="1"/>
      <c r="D281" s="1"/>
      <c r="E281" s="1"/>
      <c r="F281" s="1"/>
      <c r="G281" s="1"/>
      <c r="H281" s="1"/>
    </row>
    <row r="282" spans="1:8" x14ac:dyDescent="0.2">
      <c r="B282" s="16" t="s">
        <v>120</v>
      </c>
      <c r="C282" s="16" t="s">
        <v>490</v>
      </c>
      <c r="D282" s="16"/>
      <c r="E282" s="16" t="s">
        <v>466</v>
      </c>
    </row>
    <row r="283" spans="1:8" x14ac:dyDescent="0.2">
      <c r="B283" s="7">
        <v>43465</v>
      </c>
      <c r="C283" s="1" t="s">
        <v>1755</v>
      </c>
      <c r="D283" s="1"/>
      <c r="E283" s="157">
        <f>E243</f>
        <v>87619.047619047691</v>
      </c>
    </row>
    <row r="284" spans="1:8" x14ac:dyDescent="0.2">
      <c r="B284" s="7">
        <v>43466</v>
      </c>
      <c r="C284" s="1" t="s">
        <v>1764</v>
      </c>
      <c r="D284" s="1"/>
      <c r="E284" s="80">
        <f>-80000</f>
        <v>-80000</v>
      </c>
    </row>
    <row r="285" spans="1:8" x14ac:dyDescent="0.2">
      <c r="B285" s="7">
        <v>43830</v>
      </c>
      <c r="C285" s="1" t="s">
        <v>1789</v>
      </c>
      <c r="D285" s="1"/>
      <c r="E285" s="80">
        <v>-8000</v>
      </c>
    </row>
    <row r="286" spans="1:8" x14ac:dyDescent="0.2">
      <c r="B286" s="1">
        <v>2019</v>
      </c>
      <c r="C286" s="1" t="s">
        <v>1765</v>
      </c>
      <c r="D286" s="1"/>
      <c r="E286" s="177">
        <f>E287-E285-E284-E283</f>
        <v>380.95238095230889</v>
      </c>
    </row>
    <row r="287" spans="1:8" x14ac:dyDescent="0.2">
      <c r="B287" s="7">
        <v>43830</v>
      </c>
      <c r="C287" s="1" t="s">
        <v>1755</v>
      </c>
      <c r="D287" s="1"/>
      <c r="E287" s="176">
        <v>0</v>
      </c>
    </row>
    <row r="289" spans="1:8" x14ac:dyDescent="0.2">
      <c r="A289" s="156" t="s">
        <v>1792</v>
      </c>
      <c r="B289" s="1"/>
      <c r="C289" s="1"/>
      <c r="D289" s="1"/>
      <c r="E289" s="1"/>
      <c r="F289" s="1"/>
      <c r="G289" s="1"/>
      <c r="H289" s="1"/>
    </row>
    <row r="291" spans="1:8" x14ac:dyDescent="0.2">
      <c r="A291" s="156" t="s">
        <v>1766</v>
      </c>
    </row>
    <row r="292" spans="1:8" x14ac:dyDescent="0.2">
      <c r="A292" s="1" t="s">
        <v>1767</v>
      </c>
    </row>
    <row r="293" spans="1:8" x14ac:dyDescent="0.2">
      <c r="A293" s="1" t="s">
        <v>1768</v>
      </c>
    </row>
    <row r="294" spans="1:8" s="1" customFormat="1" x14ac:dyDescent="0.2">
      <c r="A294" s="1" t="s">
        <v>1769</v>
      </c>
    </row>
    <row r="295" spans="1:8" s="1" customFormat="1" x14ac:dyDescent="0.2"/>
    <row r="296" spans="1:8" s="1" customFormat="1" x14ac:dyDescent="0.2">
      <c r="B296" s="1" t="s">
        <v>1793</v>
      </c>
      <c r="E296" s="177">
        <f>E256</f>
        <v>46932.707051074438</v>
      </c>
    </row>
    <row r="297" spans="1:8" s="1" customFormat="1" x14ac:dyDescent="0.2"/>
    <row r="298" spans="1:8" s="1" customFormat="1" x14ac:dyDescent="0.2">
      <c r="A298" s="156" t="s">
        <v>1794</v>
      </c>
    </row>
    <row r="299" spans="1:8" s="1" customFormat="1" x14ac:dyDescent="0.2">
      <c r="A299" s="156"/>
    </row>
    <row r="300" spans="1:8" s="1" customFormat="1" x14ac:dyDescent="0.2">
      <c r="A300" s="1" t="s">
        <v>1776</v>
      </c>
      <c r="D300" s="7">
        <v>43100</v>
      </c>
      <c r="E300" s="7">
        <v>43465</v>
      </c>
      <c r="F300" s="7">
        <v>43830</v>
      </c>
    </row>
    <row r="301" spans="1:8" s="1" customFormat="1" x14ac:dyDescent="0.2">
      <c r="A301" s="1" t="s">
        <v>1773</v>
      </c>
      <c r="D301" s="158">
        <f>D261</f>
        <v>234663.53525537218</v>
      </c>
      <c r="E301" s="158">
        <f>D301</f>
        <v>234663.53525537218</v>
      </c>
      <c r="F301" s="158">
        <f>E301</f>
        <v>234663.53525537218</v>
      </c>
    </row>
    <row r="302" spans="1:8" s="1" customFormat="1" x14ac:dyDescent="0.2">
      <c r="A302" s="1" t="s">
        <v>1774</v>
      </c>
      <c r="D302" s="80">
        <f>D262</f>
        <v>-46932.707051074438</v>
      </c>
      <c r="E302" s="80">
        <f>D302-E296</f>
        <v>-93865.414102148876</v>
      </c>
      <c r="F302" s="80">
        <f>E302-E296</f>
        <v>-140798.12115322333</v>
      </c>
    </row>
    <row r="303" spans="1:8" s="1" customFormat="1" x14ac:dyDescent="0.2">
      <c r="A303" s="1" t="s">
        <v>1775</v>
      </c>
      <c r="D303" s="159">
        <f>D301+D302</f>
        <v>187730.82820429775</v>
      </c>
      <c r="E303" s="159">
        <f>E301+E302</f>
        <v>140798.1211532233</v>
      </c>
      <c r="F303" s="159">
        <f>F301+F302</f>
        <v>93865.414102148847</v>
      </c>
    </row>
    <row r="304" spans="1:8" s="1" customFormat="1" x14ac:dyDescent="0.2">
      <c r="D304" s="96"/>
      <c r="E304" s="96"/>
      <c r="F304" s="96"/>
    </row>
    <row r="305" spans="1:6" s="1" customFormat="1" x14ac:dyDescent="0.2">
      <c r="A305" s="1" t="s">
        <v>1783</v>
      </c>
      <c r="D305" s="80">
        <f t="shared" ref="D305:F306" si="0">D265</f>
        <v>80000</v>
      </c>
      <c r="E305" s="80">
        <f t="shared" si="0"/>
        <v>87619.047619047691</v>
      </c>
      <c r="F305" s="80">
        <f t="shared" si="0"/>
        <v>0</v>
      </c>
    </row>
    <row r="306" spans="1:6" s="1" customFormat="1" x14ac:dyDescent="0.2">
      <c r="A306" s="1" t="s">
        <v>1787</v>
      </c>
      <c r="D306" s="80">
        <f t="shared" si="0"/>
        <v>83446.71201814065</v>
      </c>
      <c r="E306" s="80">
        <f t="shared" si="0"/>
        <v>0</v>
      </c>
      <c r="F306" s="80">
        <f t="shared" si="0"/>
        <v>0</v>
      </c>
    </row>
    <row r="307" spans="1:6" s="1" customFormat="1" x14ac:dyDescent="0.2">
      <c r="D307" s="96"/>
      <c r="E307" s="96"/>
      <c r="F307" s="96"/>
    </row>
    <row r="308" spans="1:6" s="1" customFormat="1" x14ac:dyDescent="0.2">
      <c r="A308" s="1" t="s">
        <v>1777</v>
      </c>
      <c r="D308" s="160">
        <v>2017</v>
      </c>
      <c r="E308" s="160">
        <v>2018</v>
      </c>
      <c r="F308" s="160">
        <v>2019</v>
      </c>
    </row>
    <row r="309" spans="1:6" s="1" customFormat="1" x14ac:dyDescent="0.2">
      <c r="A309" s="1" t="s">
        <v>1778</v>
      </c>
      <c r="D309" s="157">
        <f>D269</f>
        <v>46932.707051074438</v>
      </c>
      <c r="E309" s="157">
        <f>E296</f>
        <v>46932.707051074438</v>
      </c>
      <c r="F309" s="157">
        <f>E296</f>
        <v>46932.707051074438</v>
      </c>
    </row>
    <row r="310" spans="1:6" s="1" customFormat="1" x14ac:dyDescent="0.2">
      <c r="A310" s="1" t="s">
        <v>1780</v>
      </c>
      <c r="D310" s="157">
        <f>D270</f>
        <v>7783.1767627684749</v>
      </c>
      <c r="E310" s="157">
        <f>E270</f>
        <v>4172.3356009070412</v>
      </c>
      <c r="F310" s="157">
        <f>E286</f>
        <v>380.95238095230889</v>
      </c>
    </row>
    <row r="311" spans="1:6" s="1" customFormat="1" x14ac:dyDescent="0.2">
      <c r="A311" s="1" t="s">
        <v>1779</v>
      </c>
      <c r="D311" s="80">
        <f>D271</f>
        <v>2500</v>
      </c>
      <c r="E311" s="80">
        <f>E271</f>
        <v>0</v>
      </c>
      <c r="F311" s="80">
        <f>F271</f>
        <v>0</v>
      </c>
    </row>
    <row r="345" spans="1:8" x14ac:dyDescent="0.2">
      <c r="A345" s="6" t="s">
        <v>1795</v>
      </c>
      <c r="B345" s="6"/>
      <c r="C345" s="6"/>
      <c r="D345" s="6"/>
      <c r="E345" s="6"/>
      <c r="F345" s="6"/>
      <c r="G345" s="6"/>
      <c r="H345" s="152"/>
    </row>
    <row r="347" spans="1:8" s="1" customFormat="1" x14ac:dyDescent="0.2">
      <c r="A347" s="1" t="s">
        <v>1796</v>
      </c>
    </row>
    <row r="348" spans="1:8" s="1" customFormat="1" x14ac:dyDescent="0.2">
      <c r="A348" s="1" t="s">
        <v>1797</v>
      </c>
    </row>
    <row r="349" spans="1:8" s="1" customFormat="1" x14ac:dyDescent="0.2">
      <c r="A349" s="1" t="s">
        <v>1798</v>
      </c>
    </row>
    <row r="350" spans="1:8" s="1" customFormat="1" x14ac:dyDescent="0.2">
      <c r="A350" s="1" t="s">
        <v>1919</v>
      </c>
    </row>
    <row r="351" spans="1:8" s="1" customFormat="1" x14ac:dyDescent="0.2">
      <c r="A351" s="1" t="s">
        <v>1799</v>
      </c>
    </row>
    <row r="352" spans="1:8" s="1" customFormat="1" x14ac:dyDescent="0.2"/>
    <row r="353" spans="1:8" s="1" customFormat="1" x14ac:dyDescent="0.2">
      <c r="A353" s="16" t="s">
        <v>120</v>
      </c>
      <c r="B353" s="16" t="s">
        <v>1800</v>
      </c>
    </row>
    <row r="354" spans="1:8" s="1" customFormat="1" x14ac:dyDescent="0.2">
      <c r="A354" s="7">
        <v>42736</v>
      </c>
      <c r="B354" s="42">
        <v>0.05</v>
      </c>
    </row>
    <row r="355" spans="1:8" s="1" customFormat="1" x14ac:dyDescent="0.2">
      <c r="A355" s="7">
        <v>43100</v>
      </c>
      <c r="B355" s="42">
        <v>0.06</v>
      </c>
    </row>
    <row r="356" spans="1:8" s="1" customFormat="1" x14ac:dyDescent="0.2">
      <c r="A356" s="7">
        <v>43465</v>
      </c>
      <c r="B356" s="161">
        <v>4.8000000000000001E-2</v>
      </c>
    </row>
    <row r="357" spans="1:8" s="1" customFormat="1" x14ac:dyDescent="0.2"/>
    <row r="358" spans="1:8" s="1" customFormat="1" x14ac:dyDescent="0.2">
      <c r="A358" s="1" t="s">
        <v>1801</v>
      </c>
    </row>
    <row r="359" spans="1:8" s="1" customFormat="1" x14ac:dyDescent="0.2"/>
    <row r="360" spans="1:8" s="1" customFormat="1" x14ac:dyDescent="0.2">
      <c r="A360" s="1" t="s">
        <v>1802</v>
      </c>
      <c r="B360" s="1" t="s">
        <v>1803</v>
      </c>
    </row>
    <row r="361" spans="1:8" s="1" customFormat="1" x14ac:dyDescent="0.2">
      <c r="A361" s="1">
        <v>1.2017</v>
      </c>
      <c r="B361" s="1">
        <v>110</v>
      </c>
    </row>
    <row r="362" spans="1:8" s="1" customFormat="1" x14ac:dyDescent="0.2">
      <c r="A362" s="1">
        <v>12.201700000000001</v>
      </c>
      <c r="B362" s="1">
        <v>115</v>
      </c>
    </row>
    <row r="363" spans="1:8" s="1" customFormat="1" x14ac:dyDescent="0.2">
      <c r="A363" s="1">
        <v>12.2018</v>
      </c>
      <c r="B363" s="1">
        <v>120</v>
      </c>
    </row>
    <row r="365" spans="1:8" s="1" customFormat="1" x14ac:dyDescent="0.2">
      <c r="A365" s="1" t="s">
        <v>1804</v>
      </c>
    </row>
    <row r="366" spans="1:8" ht="17" thickBot="1" x14ac:dyDescent="0.25"/>
    <row r="367" spans="1:8" ht="17" thickBot="1" x14ac:dyDescent="0.25">
      <c r="A367" s="66" t="s">
        <v>1747</v>
      </c>
      <c r="B367" s="153"/>
      <c r="C367" s="153"/>
      <c r="D367" s="153"/>
      <c r="E367" s="153"/>
      <c r="F367" s="153"/>
      <c r="G367" s="153"/>
      <c r="H367" s="154"/>
    </row>
    <row r="369" spans="1:8" x14ac:dyDescent="0.2">
      <c r="A369" s="156" t="s">
        <v>1756</v>
      </c>
    </row>
    <row r="370" spans="1:8" s="1" customFormat="1" x14ac:dyDescent="0.2">
      <c r="A370" s="1" t="s">
        <v>1748</v>
      </c>
    </row>
    <row r="371" spans="1:8" s="1" customFormat="1" x14ac:dyDescent="0.2">
      <c r="A371" s="1" t="s">
        <v>1749</v>
      </c>
    </row>
    <row r="372" spans="1:8" s="1" customFormat="1" x14ac:dyDescent="0.2"/>
    <row r="373" spans="1:8" x14ac:dyDescent="0.2">
      <c r="D373" s="172">
        <v>0.05</v>
      </c>
      <c r="E373" s="1" t="s">
        <v>1267</v>
      </c>
    </row>
    <row r="374" spans="1:8" x14ac:dyDescent="0.2">
      <c r="D374" s="165">
        <v>10</v>
      </c>
      <c r="E374" s="1" t="s">
        <v>1268</v>
      </c>
    </row>
    <row r="375" spans="1:8" x14ac:dyDescent="0.2">
      <c r="D375" s="173">
        <v>-50000</v>
      </c>
      <c r="E375" s="1" t="s">
        <v>1269</v>
      </c>
    </row>
    <row r="376" spans="1:8" x14ac:dyDescent="0.2">
      <c r="C376" s="1" t="str">
        <f ca="1">_xlfn.FORMULATEXT(D376)</f>
        <v>=PV(D373,D374,D375,D377,0)</v>
      </c>
      <c r="D376" s="174">
        <f>PV(D373,D374,D375,D377,0)</f>
        <v>386086.74645924062</v>
      </c>
      <c r="E376" s="1" t="s">
        <v>1726</v>
      </c>
    </row>
    <row r="377" spans="1:8" x14ac:dyDescent="0.2">
      <c r="D377" s="173">
        <v>0</v>
      </c>
      <c r="E377" s="1" t="s">
        <v>1727</v>
      </c>
    </row>
    <row r="378" spans="1:8" x14ac:dyDescent="0.2">
      <c r="D378" s="173"/>
      <c r="E378" s="1"/>
    </row>
    <row r="379" spans="1:8" x14ac:dyDescent="0.2">
      <c r="D379" s="173"/>
      <c r="E379" s="1"/>
    </row>
    <row r="380" spans="1:8" x14ac:dyDescent="0.2">
      <c r="A380" s="1" t="s">
        <v>1920</v>
      </c>
      <c r="D380" s="173"/>
      <c r="E380" s="1"/>
    </row>
    <row r="381" spans="1:8" x14ac:dyDescent="0.2">
      <c r="D381" s="173"/>
      <c r="E381" s="1"/>
    </row>
    <row r="382" spans="1:8" x14ac:dyDescent="0.2">
      <c r="A382" s="156" t="s">
        <v>1757</v>
      </c>
    </row>
    <row r="383" spans="1:8" x14ac:dyDescent="0.2">
      <c r="A383" s="1" t="s">
        <v>1921</v>
      </c>
      <c r="B383" s="1"/>
      <c r="C383" s="1"/>
      <c r="D383" s="1"/>
      <c r="E383" s="1"/>
      <c r="F383" s="1"/>
      <c r="G383" s="1"/>
      <c r="H383" s="1"/>
    </row>
    <row r="384" spans="1:8" x14ac:dyDescent="0.2">
      <c r="A384" s="1"/>
      <c r="B384" s="1"/>
      <c r="C384" s="1"/>
      <c r="D384" s="1"/>
      <c r="E384" s="1"/>
      <c r="F384" s="1"/>
      <c r="G384" s="1"/>
      <c r="H384" s="1"/>
    </row>
    <row r="385" spans="1:8" x14ac:dyDescent="0.2">
      <c r="A385" s="156" t="s">
        <v>1758</v>
      </c>
      <c r="B385" s="1"/>
      <c r="C385" s="1"/>
      <c r="D385" s="1"/>
      <c r="E385" s="1"/>
      <c r="F385" s="1"/>
      <c r="G385" s="1"/>
      <c r="H385" s="1"/>
    </row>
    <row r="386" spans="1:8" s="162" customFormat="1" x14ac:dyDescent="0.2">
      <c r="A386" s="96" t="s">
        <v>1923</v>
      </c>
      <c r="B386" s="96"/>
      <c r="C386" s="96"/>
      <c r="D386" s="96"/>
      <c r="E386" s="96"/>
      <c r="F386" s="96"/>
      <c r="G386" s="96"/>
      <c r="H386" s="96"/>
    </row>
    <row r="387" spans="1:8" s="162" customFormat="1" x14ac:dyDescent="0.2">
      <c r="A387" s="96" t="s">
        <v>1922</v>
      </c>
      <c r="B387" s="96"/>
      <c r="C387" s="96"/>
      <c r="D387" s="96"/>
      <c r="E387" s="96"/>
      <c r="F387" s="96"/>
      <c r="G387" s="96"/>
      <c r="H387" s="96"/>
    </row>
    <row r="388" spans="1:8" x14ac:dyDescent="0.2">
      <c r="A388" s="1" t="s">
        <v>1924</v>
      </c>
      <c r="B388" s="1"/>
      <c r="C388" s="1"/>
      <c r="D388" s="1"/>
      <c r="E388" s="1"/>
      <c r="F388" s="1"/>
      <c r="G388" s="1"/>
      <c r="H388" s="1"/>
    </row>
    <row r="389" spans="1:8" x14ac:dyDescent="0.2">
      <c r="A389" s="1"/>
      <c r="B389" s="1"/>
      <c r="C389" s="1"/>
      <c r="D389" s="1"/>
      <c r="E389" s="1"/>
      <c r="F389" s="1"/>
      <c r="G389" s="1"/>
      <c r="H389" s="1"/>
    </row>
    <row r="390" spans="1:8" x14ac:dyDescent="0.2">
      <c r="A390" s="1" t="s">
        <v>1807</v>
      </c>
      <c r="B390" s="1"/>
      <c r="C390" s="1"/>
      <c r="D390" s="177">
        <f>50000*B362/B361</f>
        <v>52272.727272727272</v>
      </c>
      <c r="E390" s="1"/>
      <c r="F390" s="1"/>
      <c r="G390" s="1" t="s">
        <v>1925</v>
      </c>
      <c r="H390" s="1"/>
    </row>
    <row r="391" spans="1:8" x14ac:dyDescent="0.2">
      <c r="A391" s="1"/>
      <c r="B391" s="1"/>
      <c r="C391" s="1"/>
      <c r="D391" s="1"/>
      <c r="E391" s="1"/>
      <c r="F391" s="1"/>
      <c r="G391" s="1"/>
      <c r="H391" s="1"/>
    </row>
    <row r="392" spans="1:8" x14ac:dyDescent="0.2">
      <c r="A392" s="1"/>
      <c r="B392" s="1"/>
      <c r="C392" s="1"/>
      <c r="D392" s="1"/>
      <c r="E392" s="1"/>
      <c r="F392" s="1"/>
      <c r="G392" s="1"/>
      <c r="H392" s="1"/>
    </row>
    <row r="393" spans="1:8" x14ac:dyDescent="0.2">
      <c r="A393" s="1"/>
      <c r="B393" s="1"/>
      <c r="C393" s="1"/>
      <c r="D393" s="1"/>
      <c r="E393" s="1"/>
      <c r="F393" s="1" t="s">
        <v>1927</v>
      </c>
      <c r="G393" s="1" t="s">
        <v>1926</v>
      </c>
      <c r="H393" s="1"/>
    </row>
    <row r="394" spans="1:8" x14ac:dyDescent="0.2">
      <c r="A394" s="1"/>
      <c r="B394" s="1"/>
      <c r="C394" s="1"/>
      <c r="D394" s="1"/>
      <c r="E394" s="1"/>
      <c r="F394" s="1" t="s">
        <v>1928</v>
      </c>
      <c r="G394" s="1"/>
      <c r="H394" s="1"/>
    </row>
    <row r="395" spans="1:8" x14ac:dyDescent="0.2">
      <c r="A395" s="1"/>
      <c r="B395" s="1"/>
      <c r="C395" s="1"/>
      <c r="D395" s="1"/>
      <c r="E395" s="1"/>
      <c r="F395" s="1">
        <v>12.201700000000001</v>
      </c>
      <c r="G395" s="1">
        <v>115</v>
      </c>
      <c r="H395" s="1"/>
    </row>
    <row r="396" spans="1:8" x14ac:dyDescent="0.2">
      <c r="A396" s="1"/>
      <c r="B396" s="1"/>
      <c r="C396" s="1"/>
      <c r="D396" s="1"/>
      <c r="E396" s="1"/>
      <c r="F396" s="1" t="s">
        <v>1929</v>
      </c>
      <c r="G396" s="1"/>
      <c r="H396" s="1"/>
    </row>
    <row r="397" spans="1:8" x14ac:dyDescent="0.2">
      <c r="A397" s="1"/>
      <c r="B397" s="1"/>
      <c r="C397" s="1"/>
      <c r="D397" s="1"/>
      <c r="E397" s="1"/>
      <c r="F397" s="1">
        <v>1.2017</v>
      </c>
      <c r="G397" s="1">
        <v>110</v>
      </c>
      <c r="H397" s="1"/>
    </row>
    <row r="398" spans="1:8" x14ac:dyDescent="0.2">
      <c r="A398" s="1"/>
      <c r="B398" s="1"/>
      <c r="C398" s="1"/>
      <c r="D398" s="1"/>
      <c r="E398" s="1"/>
      <c r="F398" s="1"/>
      <c r="G398" s="1"/>
      <c r="H398" s="1"/>
    </row>
    <row r="399" spans="1:8" x14ac:dyDescent="0.2">
      <c r="A399" s="74" t="s">
        <v>1810</v>
      </c>
      <c r="B399" s="1"/>
      <c r="C399" s="1"/>
      <c r="D399" s="1"/>
      <c r="E399" s="1"/>
      <c r="F399" s="1"/>
      <c r="G399" s="1"/>
      <c r="H399" s="1"/>
    </row>
    <row r="400" spans="1:8" x14ac:dyDescent="0.2">
      <c r="D400" s="172">
        <v>0.05</v>
      </c>
      <c r="E400" s="1" t="s">
        <v>1267</v>
      </c>
    </row>
    <row r="401" spans="1:8" x14ac:dyDescent="0.2">
      <c r="D401" s="165">
        <v>9</v>
      </c>
      <c r="E401" s="1" t="s">
        <v>1268</v>
      </c>
      <c r="F401" s="1" t="s">
        <v>1930</v>
      </c>
    </row>
    <row r="402" spans="1:8" x14ac:dyDescent="0.2">
      <c r="D402" s="173">
        <f>-D390</f>
        <v>-52272.727272727272</v>
      </c>
      <c r="E402" s="1" t="s">
        <v>1269</v>
      </c>
    </row>
    <row r="403" spans="1:8" x14ac:dyDescent="0.2">
      <c r="D403" s="174">
        <f>PV(D400,D401,D402,D404,0)</f>
        <v>371545.22395412106</v>
      </c>
      <c r="E403" s="1" t="s">
        <v>1726</v>
      </c>
    </row>
    <row r="404" spans="1:8" x14ac:dyDescent="0.2">
      <c r="D404" s="173">
        <v>0</v>
      </c>
      <c r="E404" s="1" t="s">
        <v>1727</v>
      </c>
      <c r="F404" s="1" t="s">
        <v>1931</v>
      </c>
    </row>
    <row r="405" spans="1:8" x14ac:dyDescent="0.2">
      <c r="D405" s="155"/>
      <c r="E405" s="1"/>
    </row>
    <row r="406" spans="1:8" x14ac:dyDescent="0.2">
      <c r="A406" s="74" t="s">
        <v>1809</v>
      </c>
      <c r="D406" s="155"/>
      <c r="E406" s="1"/>
    </row>
    <row r="407" spans="1:8" x14ac:dyDescent="0.2">
      <c r="A407" s="1" t="s">
        <v>1811</v>
      </c>
      <c r="D407" s="155"/>
      <c r="E407" s="1"/>
    </row>
    <row r="408" spans="1:8" x14ac:dyDescent="0.2">
      <c r="A408" s="1" t="s">
        <v>1812</v>
      </c>
      <c r="D408" s="155"/>
      <c r="E408" s="1"/>
    </row>
    <row r="409" spans="1:8" x14ac:dyDescent="0.2">
      <c r="D409" s="155"/>
      <c r="E409" s="1"/>
    </row>
    <row r="410" spans="1:8" x14ac:dyDescent="0.2">
      <c r="D410" s="172">
        <v>0.05</v>
      </c>
      <c r="E410" s="1" t="s">
        <v>1267</v>
      </c>
    </row>
    <row r="411" spans="1:8" x14ac:dyDescent="0.2">
      <c r="D411" s="165">
        <v>9</v>
      </c>
      <c r="E411" s="1" t="s">
        <v>1268</v>
      </c>
    </row>
    <row r="412" spans="1:8" x14ac:dyDescent="0.2">
      <c r="D412" s="173">
        <v>-50000</v>
      </c>
      <c r="E412" s="1" t="s">
        <v>1269</v>
      </c>
    </row>
    <row r="413" spans="1:8" x14ac:dyDescent="0.2">
      <c r="D413" s="174">
        <f>PV(D410,D411,D412,D414,0)</f>
        <v>355391.08378220274</v>
      </c>
      <c r="E413" s="1" t="s">
        <v>1726</v>
      </c>
      <c r="G413" s="78"/>
    </row>
    <row r="414" spans="1:8" x14ac:dyDescent="0.2">
      <c r="D414" s="173">
        <v>0</v>
      </c>
      <c r="E414" s="1" t="s">
        <v>1727</v>
      </c>
    </row>
    <row r="415" spans="1:8" x14ac:dyDescent="0.2">
      <c r="D415" s="155"/>
      <c r="E415" s="1"/>
    </row>
    <row r="416" spans="1:8" x14ac:dyDescent="0.2">
      <c r="A416" s="156" t="s">
        <v>1763</v>
      </c>
      <c r="B416" s="1"/>
      <c r="C416" s="1"/>
      <c r="D416" s="1"/>
      <c r="E416" s="1"/>
      <c r="F416" s="1"/>
      <c r="G416" s="1"/>
      <c r="H416" s="1"/>
    </row>
    <row r="417" spans="1:8" x14ac:dyDescent="0.2">
      <c r="A417" s="156"/>
      <c r="B417" s="1"/>
      <c r="C417" s="1"/>
      <c r="D417" s="1"/>
      <c r="E417" s="1"/>
      <c r="F417" s="1"/>
      <c r="G417" s="1"/>
      <c r="H417" s="1"/>
    </row>
    <row r="418" spans="1:8" x14ac:dyDescent="0.2">
      <c r="A418" s="96" t="s">
        <v>1932</v>
      </c>
      <c r="B418" s="1"/>
      <c r="C418" s="1"/>
      <c r="D418" s="1"/>
      <c r="E418" s="1"/>
      <c r="F418" s="1"/>
      <c r="G418" s="1"/>
      <c r="H418" s="1"/>
    </row>
    <row r="419" spans="1:8" x14ac:dyDescent="0.2">
      <c r="A419" s="156"/>
      <c r="B419" s="16" t="s">
        <v>120</v>
      </c>
      <c r="C419" s="16" t="s">
        <v>490</v>
      </c>
      <c r="D419" s="16"/>
      <c r="E419" s="16" t="s">
        <v>466</v>
      </c>
      <c r="F419" s="1"/>
      <c r="G419" s="1"/>
      <c r="H419" s="1"/>
    </row>
    <row r="420" spans="1:8" x14ac:dyDescent="0.2">
      <c r="A420" s="156"/>
      <c r="B420" s="7">
        <v>42736</v>
      </c>
      <c r="C420" s="1" t="s">
        <v>1755</v>
      </c>
      <c r="D420" s="1"/>
      <c r="E420" s="157">
        <f>D376</f>
        <v>386086.74645924062</v>
      </c>
      <c r="F420" s="1"/>
      <c r="G420" s="1"/>
      <c r="H420" s="1"/>
    </row>
    <row r="421" spans="1:8" x14ac:dyDescent="0.2">
      <c r="A421" s="156"/>
      <c r="B421" s="7">
        <v>43100</v>
      </c>
      <c r="C421" s="1" t="s">
        <v>1808</v>
      </c>
      <c r="D421" s="1"/>
      <c r="E421" s="80">
        <v>-50000</v>
      </c>
      <c r="F421" s="1"/>
      <c r="G421" s="1"/>
      <c r="H421" s="1"/>
    </row>
    <row r="422" spans="1:8" x14ac:dyDescent="0.2">
      <c r="A422" s="156"/>
      <c r="B422" s="1">
        <v>2017</v>
      </c>
      <c r="C422" s="1" t="s">
        <v>1765</v>
      </c>
      <c r="D422" s="1"/>
      <c r="E422" s="177">
        <f>E423-E421-E420</f>
        <v>19304.337322962121</v>
      </c>
      <c r="F422" s="1"/>
      <c r="G422" s="1"/>
      <c r="H422" s="1"/>
    </row>
    <row r="423" spans="1:8" x14ac:dyDescent="0.2">
      <c r="A423" s="156"/>
      <c r="B423" s="7">
        <v>43100</v>
      </c>
      <c r="C423" s="1" t="s">
        <v>1755</v>
      </c>
      <c r="D423" s="1"/>
      <c r="E423" s="176">
        <f>D413</f>
        <v>355391.08378220274</v>
      </c>
      <c r="F423" s="1"/>
      <c r="G423" s="1"/>
      <c r="H423" s="1"/>
    </row>
    <row r="424" spans="1:8" x14ac:dyDescent="0.2">
      <c r="A424" s="156"/>
      <c r="B424" s="1"/>
      <c r="C424" s="1"/>
      <c r="D424" s="1"/>
      <c r="E424" s="1"/>
      <c r="F424" s="1"/>
      <c r="G424" s="1"/>
      <c r="H424" s="1"/>
    </row>
    <row r="425" spans="1:8" x14ac:dyDescent="0.2">
      <c r="A425" s="96" t="s">
        <v>1814</v>
      </c>
      <c r="B425" s="1"/>
      <c r="C425" s="1"/>
      <c r="D425" s="1"/>
      <c r="E425" s="1"/>
      <c r="F425" s="1"/>
      <c r="G425" s="1"/>
      <c r="H425" s="1"/>
    </row>
    <row r="426" spans="1:8" x14ac:dyDescent="0.2">
      <c r="A426" s="96" t="s">
        <v>1815</v>
      </c>
      <c r="B426" s="1"/>
      <c r="C426" s="1"/>
      <c r="D426" s="1"/>
      <c r="E426" s="1"/>
      <c r="F426" s="1"/>
      <c r="G426" s="1"/>
      <c r="H426" s="1"/>
    </row>
    <row r="427" spans="1:8" x14ac:dyDescent="0.2">
      <c r="A427" s="96" t="s">
        <v>1816</v>
      </c>
      <c r="B427" s="1"/>
      <c r="C427" s="1"/>
      <c r="D427" s="1"/>
      <c r="E427" s="1"/>
      <c r="F427" s="1"/>
      <c r="G427" s="1"/>
      <c r="H427" s="1"/>
    </row>
    <row r="428" spans="1:8" x14ac:dyDescent="0.2">
      <c r="A428" s="156"/>
      <c r="B428" s="1"/>
      <c r="C428" s="1"/>
      <c r="D428" s="1"/>
      <c r="E428" s="1"/>
      <c r="F428" s="1"/>
      <c r="G428" s="1"/>
      <c r="H428" s="1"/>
    </row>
    <row r="429" spans="1:8" x14ac:dyDescent="0.2">
      <c r="B429" s="16" t="s">
        <v>120</v>
      </c>
      <c r="C429" s="16" t="s">
        <v>490</v>
      </c>
      <c r="D429" s="16"/>
      <c r="E429" s="16" t="s">
        <v>466</v>
      </c>
    </row>
    <row r="430" spans="1:8" x14ac:dyDescent="0.2">
      <c r="B430" s="7">
        <v>42736</v>
      </c>
      <c r="C430" s="1" t="s">
        <v>1755</v>
      </c>
      <c r="D430" s="1"/>
      <c r="E430" s="157">
        <f>E420</f>
        <v>386086.74645924062</v>
      </c>
    </row>
    <row r="431" spans="1:8" x14ac:dyDescent="0.2">
      <c r="B431" s="7">
        <v>43100</v>
      </c>
      <c r="C431" s="1" t="s">
        <v>1933</v>
      </c>
      <c r="D431" s="1"/>
      <c r="E431" s="80">
        <f>D402</f>
        <v>-52272.727272727272</v>
      </c>
    </row>
    <row r="432" spans="1:8" x14ac:dyDescent="0.2">
      <c r="B432" s="7">
        <v>43100</v>
      </c>
      <c r="C432" s="1" t="s">
        <v>1817</v>
      </c>
      <c r="D432" s="1"/>
      <c r="E432" s="181">
        <f>E422</f>
        <v>19304.337322962121</v>
      </c>
    </row>
    <row r="433" spans="1:8" x14ac:dyDescent="0.2">
      <c r="B433" s="7">
        <v>43100</v>
      </c>
      <c r="C433" s="1" t="s">
        <v>1818</v>
      </c>
      <c r="D433" s="1"/>
      <c r="E433" s="182">
        <f>E434-E430-E431-E432</f>
        <v>18426.867444645592</v>
      </c>
      <c r="F433" s="2" t="s">
        <v>782</v>
      </c>
      <c r="G433" s="1" t="s">
        <v>1934</v>
      </c>
    </row>
    <row r="434" spans="1:8" x14ac:dyDescent="0.2">
      <c r="B434" s="7">
        <v>43100</v>
      </c>
      <c r="C434" s="1" t="s">
        <v>1755</v>
      </c>
      <c r="D434" s="1"/>
      <c r="E434" s="176">
        <f>D403</f>
        <v>371545.22395412106</v>
      </c>
    </row>
    <row r="436" spans="1:8" x14ac:dyDescent="0.2">
      <c r="A436" s="3" t="s">
        <v>1935</v>
      </c>
      <c r="B436" s="1"/>
      <c r="C436" s="1"/>
      <c r="D436" s="1"/>
      <c r="E436" s="1"/>
      <c r="F436" s="1"/>
      <c r="G436" s="1"/>
      <c r="H436" s="1"/>
    </row>
    <row r="437" spans="1:8" x14ac:dyDescent="0.2">
      <c r="A437" s="1" t="s">
        <v>1936</v>
      </c>
      <c r="B437" s="1"/>
      <c r="C437" s="1"/>
      <c r="D437" s="1"/>
      <c r="E437" s="1"/>
      <c r="F437" s="1"/>
      <c r="G437" s="1"/>
      <c r="H437" s="1"/>
    </row>
    <row r="438" spans="1:8" x14ac:dyDescent="0.2">
      <c r="A438" s="1" t="s">
        <v>1937</v>
      </c>
      <c r="B438" s="1"/>
      <c r="C438" s="1"/>
      <c r="D438" s="1"/>
      <c r="E438" s="1"/>
      <c r="F438" s="1"/>
      <c r="G438" s="1"/>
      <c r="H438" s="1"/>
    </row>
    <row r="439" spans="1:8" x14ac:dyDescent="0.2">
      <c r="A439" s="1" t="s">
        <v>1938</v>
      </c>
      <c r="B439" s="1"/>
      <c r="C439" s="1"/>
      <c r="D439" s="1"/>
      <c r="E439" s="1"/>
      <c r="F439" s="1"/>
      <c r="G439" s="1"/>
      <c r="H439" s="1"/>
    </row>
    <row r="440" spans="1:8" x14ac:dyDescent="0.2">
      <c r="A440" s="1" t="s">
        <v>1939</v>
      </c>
      <c r="B440" s="1"/>
      <c r="C440" s="1"/>
      <c r="D440" s="1"/>
      <c r="E440" s="1"/>
      <c r="F440" s="1"/>
      <c r="G440" s="1"/>
      <c r="H440" s="1"/>
    </row>
    <row r="441" spans="1:8" x14ac:dyDescent="0.2">
      <c r="A441" s="1" t="s">
        <v>1940</v>
      </c>
      <c r="B441" s="1"/>
      <c r="C441" s="1"/>
      <c r="D441" s="1"/>
      <c r="E441" s="1"/>
      <c r="F441" s="1"/>
      <c r="G441" s="1"/>
      <c r="H441" s="1"/>
    </row>
    <row r="443" spans="1:8" x14ac:dyDescent="0.2">
      <c r="A443" s="156" t="s">
        <v>1762</v>
      </c>
      <c r="B443" s="1"/>
      <c r="C443" s="1"/>
      <c r="D443" s="1"/>
      <c r="E443" s="1"/>
      <c r="F443" s="1"/>
      <c r="G443" s="1"/>
      <c r="H443" s="1"/>
    </row>
    <row r="444" spans="1:8" x14ac:dyDescent="0.2">
      <c r="A444" s="1" t="s">
        <v>1941</v>
      </c>
    </row>
    <row r="445" spans="1:8" x14ac:dyDescent="0.2">
      <c r="A445" s="1" t="s">
        <v>1820</v>
      </c>
    </row>
    <row r="446" spans="1:8" x14ac:dyDescent="0.2">
      <c r="A446" s="1" t="s">
        <v>1942</v>
      </c>
    </row>
    <row r="447" spans="1:8" x14ac:dyDescent="0.2">
      <c r="A447" s="1" t="s">
        <v>1943</v>
      </c>
    </row>
    <row r="448" spans="1:8" x14ac:dyDescent="0.2">
      <c r="A448" s="1" t="s">
        <v>1944</v>
      </c>
    </row>
    <row r="449" spans="1:9" x14ac:dyDescent="0.2">
      <c r="A449" s="1" t="s">
        <v>1945</v>
      </c>
    </row>
    <row r="450" spans="1:9" x14ac:dyDescent="0.2">
      <c r="A450" s="1"/>
    </row>
    <row r="451" spans="1:9" ht="17" thickBot="1" x14ac:dyDescent="0.25">
      <c r="B451" s="1" t="s">
        <v>1946</v>
      </c>
      <c r="D451" s="172">
        <v>0.05</v>
      </c>
      <c r="E451" s="1" t="s">
        <v>1267</v>
      </c>
    </row>
    <row r="452" spans="1:9" x14ac:dyDescent="0.2">
      <c r="B452" s="1" t="s">
        <v>1949</v>
      </c>
      <c r="D452" s="165">
        <v>1</v>
      </c>
      <c r="E452" s="1" t="s">
        <v>1821</v>
      </c>
      <c r="G452" s="183" t="s">
        <v>1950</v>
      </c>
      <c r="H452" s="184"/>
      <c r="I452" s="185"/>
    </row>
    <row r="453" spans="1:9" x14ac:dyDescent="0.2">
      <c r="B453" s="1" t="s">
        <v>1907</v>
      </c>
      <c r="D453" s="165">
        <v>9</v>
      </c>
      <c r="E453" s="1" t="s">
        <v>1268</v>
      </c>
      <c r="G453" s="186" t="s">
        <v>1951</v>
      </c>
      <c r="H453" s="77"/>
      <c r="I453" s="187"/>
    </row>
    <row r="454" spans="1:9" x14ac:dyDescent="0.2">
      <c r="B454" s="1" t="s">
        <v>1947</v>
      </c>
      <c r="D454" s="173">
        <f>E434</f>
        <v>371545.22395412106</v>
      </c>
      <c r="E454" s="1" t="s">
        <v>1726</v>
      </c>
      <c r="G454" s="186" t="s">
        <v>1952</v>
      </c>
      <c r="H454" s="77"/>
      <c r="I454" s="187"/>
    </row>
    <row r="455" spans="1:9" ht="17" thickBot="1" x14ac:dyDescent="0.25">
      <c r="B455" s="1" t="s">
        <v>1948</v>
      </c>
      <c r="D455" s="165">
        <v>0</v>
      </c>
      <c r="E455" s="1" t="s">
        <v>1727</v>
      </c>
      <c r="G455" s="188" t="s">
        <v>1953</v>
      </c>
      <c r="H455" s="189"/>
      <c r="I455" s="190"/>
    </row>
    <row r="456" spans="1:9" x14ac:dyDescent="0.2">
      <c r="D456" s="174">
        <f>PPMT(D451,D452,D453,D454,D455)</f>
        <v>-33695.466075021228</v>
      </c>
      <c r="E456" s="84" t="s">
        <v>1822</v>
      </c>
    </row>
    <row r="458" spans="1:9" x14ac:dyDescent="0.2">
      <c r="B458" s="1" t="s">
        <v>1759</v>
      </c>
      <c r="E458" s="80">
        <f>E434</f>
        <v>371545.22395412106</v>
      </c>
      <c r="F458" s="1" t="s">
        <v>1954</v>
      </c>
    </row>
    <row r="459" spans="1:9" x14ac:dyDescent="0.2">
      <c r="B459" s="1" t="s">
        <v>1760</v>
      </c>
      <c r="E459" s="181">
        <f>D456</f>
        <v>-33695.466075021228</v>
      </c>
    </row>
    <row r="460" spans="1:9" x14ac:dyDescent="0.2">
      <c r="B460" s="1" t="s">
        <v>1761</v>
      </c>
      <c r="E460" s="191">
        <f>E458+E459</f>
        <v>337849.75787909981</v>
      </c>
    </row>
    <row r="462" spans="1:9" x14ac:dyDescent="0.2">
      <c r="A462" s="156" t="s">
        <v>1766</v>
      </c>
    </row>
    <row r="463" spans="1:9" x14ac:dyDescent="0.2">
      <c r="A463" s="1" t="s">
        <v>1767</v>
      </c>
    </row>
    <row r="464" spans="1:9" x14ac:dyDescent="0.2">
      <c r="A464" s="1" t="s">
        <v>1955</v>
      </c>
    </row>
    <row r="465" spans="1:8" s="1" customFormat="1" x14ac:dyDescent="0.2">
      <c r="A465" s="3" t="s">
        <v>1824</v>
      </c>
    </row>
    <row r="466" spans="1:8" s="1" customFormat="1" x14ac:dyDescent="0.2"/>
    <row r="467" spans="1:8" s="1" customFormat="1" x14ac:dyDescent="0.2">
      <c r="B467" s="1" t="s">
        <v>120</v>
      </c>
      <c r="C467" s="1" t="s">
        <v>490</v>
      </c>
    </row>
    <row r="468" spans="1:8" s="1" customFormat="1" x14ac:dyDescent="0.2">
      <c r="B468" s="7">
        <v>42736</v>
      </c>
      <c r="C468" s="1" t="s">
        <v>1825</v>
      </c>
      <c r="E468" s="157">
        <f>D376</f>
        <v>386086.74645924062</v>
      </c>
    </row>
    <row r="469" spans="1:8" s="1" customFormat="1" x14ac:dyDescent="0.2">
      <c r="B469" s="7">
        <v>43100</v>
      </c>
      <c r="C469" s="1" t="s">
        <v>1826</v>
      </c>
      <c r="E469" s="157">
        <f>-E468/10</f>
        <v>-38608.67464592406</v>
      </c>
      <c r="H469" s="1" t="s">
        <v>1956</v>
      </c>
    </row>
    <row r="470" spans="1:8" s="1" customFormat="1" x14ac:dyDescent="0.2">
      <c r="B470" s="7">
        <v>43100</v>
      </c>
      <c r="C470" s="1" t="s">
        <v>1818</v>
      </c>
      <c r="E470" s="80">
        <f>E433</f>
        <v>18426.867444645592</v>
      </c>
      <c r="F470" s="1" t="s">
        <v>1957</v>
      </c>
    </row>
    <row r="471" spans="1:8" s="1" customFormat="1" x14ac:dyDescent="0.2">
      <c r="B471" s="7">
        <v>43100</v>
      </c>
      <c r="C471" s="1" t="s">
        <v>1827</v>
      </c>
      <c r="E471" s="177">
        <f>SUM(E468:E470)</f>
        <v>365904.93925796216</v>
      </c>
    </row>
    <row r="472" spans="1:8" s="1" customFormat="1" x14ac:dyDescent="0.2"/>
    <row r="473" spans="1:8" s="1" customFormat="1" x14ac:dyDescent="0.2">
      <c r="A473" s="156" t="s">
        <v>1772</v>
      </c>
    </row>
    <row r="474" spans="1:8" s="1" customFormat="1" x14ac:dyDescent="0.2">
      <c r="A474" s="156"/>
    </row>
    <row r="475" spans="1:8" s="1" customFormat="1" x14ac:dyDescent="0.2">
      <c r="A475" s="1" t="s">
        <v>1776</v>
      </c>
      <c r="D475" s="7">
        <v>43100</v>
      </c>
    </row>
    <row r="476" spans="1:8" s="1" customFormat="1" x14ac:dyDescent="0.2">
      <c r="A476" s="1" t="s">
        <v>1958</v>
      </c>
      <c r="D476" s="158">
        <f>D376+E470</f>
        <v>404513.61390388623</v>
      </c>
    </row>
    <row r="477" spans="1:8" s="1" customFormat="1" x14ac:dyDescent="0.2">
      <c r="A477" s="1" t="s">
        <v>1774</v>
      </c>
      <c r="D477" s="80">
        <f>E469</f>
        <v>-38608.67464592406</v>
      </c>
    </row>
    <row r="478" spans="1:8" s="1" customFormat="1" x14ac:dyDescent="0.2">
      <c r="A478" s="1" t="s">
        <v>1775</v>
      </c>
      <c r="D478" s="159">
        <f>D476+D477</f>
        <v>365904.93925796216</v>
      </c>
    </row>
    <row r="479" spans="1:8" s="1" customFormat="1" x14ac:dyDescent="0.2"/>
    <row r="480" spans="1:8" s="1" customFormat="1" x14ac:dyDescent="0.2">
      <c r="A480" s="1" t="s">
        <v>1783</v>
      </c>
      <c r="D480" s="80">
        <f>-E459</f>
        <v>33695.466075021228</v>
      </c>
    </row>
    <row r="481" spans="1:8" s="1" customFormat="1" x14ac:dyDescent="0.2">
      <c r="A481" s="1" t="s">
        <v>1784</v>
      </c>
      <c r="D481" s="80">
        <f>E460</f>
        <v>337849.75787909981</v>
      </c>
    </row>
    <row r="482" spans="1:8" s="1" customFormat="1" x14ac:dyDescent="0.2"/>
    <row r="483" spans="1:8" s="1" customFormat="1" x14ac:dyDescent="0.2">
      <c r="A483" s="1" t="s">
        <v>1777</v>
      </c>
      <c r="D483" s="16">
        <v>2017</v>
      </c>
    </row>
    <row r="484" spans="1:8" s="1" customFormat="1" x14ac:dyDescent="0.2">
      <c r="A484" s="1" t="s">
        <v>1778</v>
      </c>
      <c r="D484" s="157">
        <f>-E469</f>
        <v>38608.67464592406</v>
      </c>
    </row>
    <row r="485" spans="1:8" s="1" customFormat="1" x14ac:dyDescent="0.2">
      <c r="A485" s="1" t="s">
        <v>1780</v>
      </c>
      <c r="D485" s="157">
        <f>E422</f>
        <v>19304.337322962121</v>
      </c>
    </row>
    <row r="487" spans="1:8" s="1" customFormat="1" x14ac:dyDescent="0.2">
      <c r="A487" s="2" t="s">
        <v>275</v>
      </c>
      <c r="B487" s="1" t="s">
        <v>1959</v>
      </c>
    </row>
    <row r="488" spans="1:8" s="1" customFormat="1" x14ac:dyDescent="0.2">
      <c r="B488" s="1" t="s">
        <v>1960</v>
      </c>
    </row>
    <row r="489" spans="1:8" s="1" customFormat="1" x14ac:dyDescent="0.2">
      <c r="B489" s="1" t="s">
        <v>1961</v>
      </c>
      <c r="C489" s="8">
        <f>D476</f>
        <v>404513.61390388623</v>
      </c>
      <c r="E489" s="1" t="s">
        <v>1962</v>
      </c>
    </row>
    <row r="490" spans="1:8" ht="17" thickBot="1" x14ac:dyDescent="0.25"/>
    <row r="491" spans="1:8" ht="17" thickBot="1" x14ac:dyDescent="0.25">
      <c r="A491" s="66" t="s">
        <v>1781</v>
      </c>
      <c r="B491" s="153"/>
      <c r="C491" s="153"/>
      <c r="D491" s="153"/>
      <c r="E491" s="153"/>
      <c r="F491" s="67" t="s">
        <v>1963</v>
      </c>
      <c r="G491" s="153"/>
      <c r="H491" s="154"/>
    </row>
    <row r="493" spans="1:8" x14ac:dyDescent="0.2">
      <c r="A493" s="156" t="s">
        <v>1758</v>
      </c>
      <c r="B493" s="1"/>
      <c r="C493" s="1"/>
      <c r="D493" s="1"/>
      <c r="E493" s="1"/>
      <c r="F493" s="1"/>
      <c r="G493" s="1"/>
      <c r="H493" s="1"/>
    </row>
    <row r="494" spans="1:8" s="162" customFormat="1" x14ac:dyDescent="0.2">
      <c r="A494" s="96" t="s">
        <v>1805</v>
      </c>
      <c r="B494" s="96"/>
      <c r="C494" s="96"/>
      <c r="D494" s="96"/>
      <c r="E494" s="96"/>
      <c r="F494" s="96"/>
      <c r="G494" s="96"/>
      <c r="H494" s="96"/>
    </row>
    <row r="495" spans="1:8" x14ac:dyDescent="0.2">
      <c r="A495" s="1" t="s">
        <v>1806</v>
      </c>
      <c r="B495" s="1"/>
      <c r="C495" s="1"/>
      <c r="D495" s="1"/>
      <c r="E495" s="1"/>
      <c r="F495" s="1"/>
      <c r="G495" s="1"/>
      <c r="H495" s="1"/>
    </row>
    <row r="496" spans="1:8" x14ac:dyDescent="0.2">
      <c r="A496" s="1"/>
      <c r="B496" s="1"/>
      <c r="C496" s="1"/>
      <c r="D496" s="1"/>
      <c r="E496" s="1"/>
      <c r="F496" s="1"/>
      <c r="G496" s="1"/>
      <c r="H496" s="1"/>
    </row>
    <row r="497" spans="1:8" s="162" customFormat="1" x14ac:dyDescent="0.2">
      <c r="A497" s="96" t="s">
        <v>1807</v>
      </c>
      <c r="B497" s="96"/>
      <c r="C497" s="96"/>
      <c r="D497" s="177">
        <f>50000*B363/B361</f>
        <v>54545.454545454544</v>
      </c>
      <c r="E497" s="96"/>
      <c r="F497" s="96"/>
      <c r="G497" s="96"/>
      <c r="H497" s="96"/>
    </row>
    <row r="498" spans="1:8" s="162" customFormat="1" x14ac:dyDescent="0.2">
      <c r="A498" s="96"/>
      <c r="B498" s="96"/>
      <c r="C498" s="96"/>
      <c r="D498" s="96"/>
      <c r="E498" s="96"/>
      <c r="F498" s="96"/>
      <c r="G498" s="96"/>
      <c r="H498" s="96"/>
    </row>
    <row r="499" spans="1:8" s="162" customFormat="1" x14ac:dyDescent="0.2">
      <c r="A499" s="95" t="s">
        <v>1828</v>
      </c>
      <c r="B499" s="96"/>
      <c r="C499" s="96"/>
      <c r="D499" s="96"/>
      <c r="E499" s="96"/>
      <c r="F499" s="96"/>
      <c r="G499" s="96"/>
      <c r="H499" s="96"/>
    </row>
    <row r="500" spans="1:8" s="162" customFormat="1" x14ac:dyDescent="0.2">
      <c r="D500" s="82">
        <v>0.05</v>
      </c>
      <c r="E500" s="96" t="s">
        <v>1267</v>
      </c>
    </row>
    <row r="501" spans="1:8" s="162" customFormat="1" x14ac:dyDescent="0.2">
      <c r="D501" s="96">
        <v>8</v>
      </c>
      <c r="E501" s="96" t="s">
        <v>1268</v>
      </c>
    </row>
    <row r="502" spans="1:8" s="162" customFormat="1" x14ac:dyDescent="0.2">
      <c r="D502" s="157">
        <f>-D497</f>
        <v>-54545.454545454544</v>
      </c>
      <c r="E502" s="96" t="s">
        <v>1269</v>
      </c>
    </row>
    <row r="503" spans="1:8" s="162" customFormat="1" x14ac:dyDescent="0.2">
      <c r="D503" s="177">
        <f>PV(D500,D501,D502,D504,0)</f>
        <v>352538.87778688665</v>
      </c>
      <c r="E503" s="96" t="s">
        <v>1726</v>
      </c>
    </row>
    <row r="504" spans="1:8" s="162" customFormat="1" x14ac:dyDescent="0.2">
      <c r="D504" s="157">
        <v>0</v>
      </c>
      <c r="E504" s="96" t="s">
        <v>1727</v>
      </c>
    </row>
    <row r="505" spans="1:8" s="162" customFormat="1" x14ac:dyDescent="0.2">
      <c r="D505" s="157"/>
      <c r="E505" s="96"/>
    </row>
    <row r="506" spans="1:8" s="162" customFormat="1" x14ac:dyDescent="0.2">
      <c r="A506" s="95" t="s">
        <v>1829</v>
      </c>
      <c r="D506" s="157"/>
      <c r="E506" s="96"/>
    </row>
    <row r="507" spans="1:8" s="162" customFormat="1" x14ac:dyDescent="0.2">
      <c r="A507" s="96" t="s">
        <v>1811</v>
      </c>
      <c r="D507" s="157"/>
      <c r="E507" s="96"/>
    </row>
    <row r="508" spans="1:8" s="162" customFormat="1" x14ac:dyDescent="0.2">
      <c r="A508" s="96" t="s">
        <v>1812</v>
      </c>
      <c r="D508" s="157"/>
      <c r="E508" s="96"/>
    </row>
    <row r="509" spans="1:8" s="162" customFormat="1" x14ac:dyDescent="0.2">
      <c r="D509" s="157"/>
      <c r="E509" s="96"/>
    </row>
    <row r="510" spans="1:8" s="162" customFormat="1" x14ac:dyDescent="0.2">
      <c r="D510" s="82">
        <v>0.05</v>
      </c>
      <c r="E510" s="96" t="s">
        <v>1267</v>
      </c>
    </row>
    <row r="511" spans="1:8" s="162" customFormat="1" x14ac:dyDescent="0.2">
      <c r="D511" s="96">
        <v>8</v>
      </c>
      <c r="E511" s="96" t="s">
        <v>1268</v>
      </c>
    </row>
    <row r="512" spans="1:8" s="162" customFormat="1" x14ac:dyDescent="0.2">
      <c r="D512" s="157">
        <f>-50000*115/110</f>
        <v>-52272.727272727272</v>
      </c>
      <c r="E512" s="96" t="s">
        <v>1269</v>
      </c>
    </row>
    <row r="513" spans="1:8" s="162" customFormat="1" x14ac:dyDescent="0.2">
      <c r="D513" s="177">
        <f>PV(D510,D511,D512,D514,0)</f>
        <v>337849.75787909975</v>
      </c>
      <c r="E513" s="96" t="s">
        <v>1726</v>
      </c>
    </row>
    <row r="514" spans="1:8" s="162" customFormat="1" x14ac:dyDescent="0.2">
      <c r="D514" s="157">
        <v>0</v>
      </c>
      <c r="E514" s="96" t="s">
        <v>1727</v>
      </c>
    </row>
    <row r="515" spans="1:8" x14ac:dyDescent="0.2">
      <c r="D515" s="155"/>
      <c r="E515" s="1"/>
    </row>
    <row r="516" spans="1:8" x14ac:dyDescent="0.2">
      <c r="A516" s="156" t="s">
        <v>1763</v>
      </c>
      <c r="B516" s="1"/>
      <c r="C516" s="1"/>
      <c r="D516" s="1"/>
      <c r="E516" s="1"/>
      <c r="F516" s="1"/>
      <c r="G516" s="1"/>
      <c r="H516" s="1"/>
    </row>
    <row r="517" spans="1:8" x14ac:dyDescent="0.2">
      <c r="A517" s="156"/>
      <c r="B517" s="1"/>
      <c r="C517" s="1"/>
      <c r="D517" s="1"/>
      <c r="E517" s="1"/>
      <c r="F517" s="1"/>
      <c r="G517" s="1"/>
      <c r="H517" s="1"/>
    </row>
    <row r="518" spans="1:8" s="162" customFormat="1" x14ac:dyDescent="0.2">
      <c r="A518" s="96" t="s">
        <v>1813</v>
      </c>
      <c r="B518" s="96"/>
      <c r="C518" s="96"/>
      <c r="D518" s="96"/>
      <c r="E518" s="96"/>
      <c r="F518" s="96"/>
      <c r="G518" s="96"/>
      <c r="H518" s="96"/>
    </row>
    <row r="519" spans="1:8" s="162" customFormat="1" x14ac:dyDescent="0.2">
      <c r="A519" s="192"/>
      <c r="B519" s="160" t="s">
        <v>120</v>
      </c>
      <c r="C519" s="160" t="s">
        <v>490</v>
      </c>
      <c r="D519" s="160"/>
      <c r="E519" s="160" t="s">
        <v>466</v>
      </c>
      <c r="F519" s="96"/>
      <c r="G519" s="96"/>
      <c r="H519" s="96"/>
    </row>
    <row r="520" spans="1:8" s="162" customFormat="1" x14ac:dyDescent="0.2">
      <c r="A520" s="192"/>
      <c r="B520" s="193">
        <v>43100</v>
      </c>
      <c r="C520" s="96" t="s">
        <v>1755</v>
      </c>
      <c r="D520" s="96"/>
      <c r="E520" s="157">
        <f>E423*115/110</f>
        <v>371545.223954121</v>
      </c>
      <c r="F520" s="96"/>
      <c r="G520" s="96"/>
      <c r="H520" s="96"/>
    </row>
    <row r="521" spans="1:8" s="162" customFormat="1" x14ac:dyDescent="0.2">
      <c r="A521" s="192"/>
      <c r="B521" s="193">
        <v>43465</v>
      </c>
      <c r="C521" s="96" t="s">
        <v>1808</v>
      </c>
      <c r="D521" s="96"/>
      <c r="E521" s="80">
        <f>-50000*115/110</f>
        <v>-52272.727272727272</v>
      </c>
      <c r="F521" s="96"/>
      <c r="G521" s="96"/>
      <c r="H521" s="96"/>
    </row>
    <row r="522" spans="1:8" s="162" customFormat="1" x14ac:dyDescent="0.2">
      <c r="A522" s="192"/>
      <c r="B522" s="96">
        <v>2018</v>
      </c>
      <c r="C522" s="96" t="s">
        <v>1765</v>
      </c>
      <c r="D522" s="96"/>
      <c r="E522" s="177">
        <f>E523-E521-E520</f>
        <v>18577.261197706044</v>
      </c>
      <c r="F522" s="96"/>
      <c r="G522" s="96"/>
      <c r="H522" s="96"/>
    </row>
    <row r="523" spans="1:8" s="162" customFormat="1" x14ac:dyDescent="0.2">
      <c r="A523" s="192"/>
      <c r="B523" s="193">
        <v>43465</v>
      </c>
      <c r="C523" s="96" t="s">
        <v>1755</v>
      </c>
      <c r="D523" s="96"/>
      <c r="E523" s="176">
        <f>D513</f>
        <v>337849.75787909975</v>
      </c>
      <c r="F523" s="96"/>
      <c r="G523" s="96"/>
      <c r="H523" s="96"/>
    </row>
    <row r="524" spans="1:8" s="162" customFormat="1" x14ac:dyDescent="0.2">
      <c r="A524" s="192"/>
      <c r="B524" s="96"/>
      <c r="C524" s="96"/>
      <c r="D524" s="96"/>
      <c r="E524" s="96"/>
      <c r="F524" s="96"/>
      <c r="G524" s="96"/>
      <c r="H524" s="96"/>
    </row>
    <row r="525" spans="1:8" s="162" customFormat="1" x14ac:dyDescent="0.2">
      <c r="A525" s="96" t="s">
        <v>1814</v>
      </c>
      <c r="B525" s="96"/>
      <c r="C525" s="96"/>
      <c r="D525" s="96"/>
      <c r="E525" s="96"/>
      <c r="F525" s="96"/>
      <c r="G525" s="96"/>
      <c r="H525" s="96"/>
    </row>
    <row r="526" spans="1:8" s="162" customFormat="1" x14ac:dyDescent="0.2">
      <c r="A526" s="96" t="s">
        <v>1815</v>
      </c>
      <c r="B526" s="96"/>
      <c r="C526" s="96"/>
      <c r="D526" s="96"/>
      <c r="E526" s="96"/>
      <c r="F526" s="96"/>
      <c r="G526" s="96"/>
      <c r="H526" s="96"/>
    </row>
    <row r="527" spans="1:8" s="162" customFormat="1" x14ac:dyDescent="0.2">
      <c r="A527" s="96" t="s">
        <v>1816</v>
      </c>
      <c r="B527" s="96"/>
      <c r="C527" s="96"/>
      <c r="D527" s="96"/>
      <c r="E527" s="96"/>
      <c r="F527" s="96"/>
      <c r="G527" s="96"/>
      <c r="H527" s="96"/>
    </row>
    <row r="528" spans="1:8" s="162" customFormat="1" x14ac:dyDescent="0.2">
      <c r="A528" s="192"/>
      <c r="B528" s="96"/>
      <c r="C528" s="96"/>
      <c r="D528" s="96"/>
      <c r="E528" s="96"/>
      <c r="F528" s="96"/>
      <c r="G528" s="96"/>
      <c r="H528" s="96"/>
    </row>
    <row r="529" spans="1:8" s="162" customFormat="1" x14ac:dyDescent="0.2">
      <c r="B529" s="160" t="s">
        <v>120</v>
      </c>
      <c r="C529" s="160" t="s">
        <v>490</v>
      </c>
      <c r="D529" s="160"/>
      <c r="E529" s="160" t="s">
        <v>466</v>
      </c>
    </row>
    <row r="530" spans="1:8" s="162" customFormat="1" x14ac:dyDescent="0.2">
      <c r="B530" s="193">
        <v>43100</v>
      </c>
      <c r="C530" s="96" t="s">
        <v>1755</v>
      </c>
      <c r="D530" s="96"/>
      <c r="E530" s="157">
        <f>D403</f>
        <v>371545.22395412106</v>
      </c>
    </row>
    <row r="531" spans="1:8" s="162" customFormat="1" x14ac:dyDescent="0.2">
      <c r="B531" s="193">
        <v>43465</v>
      </c>
      <c r="C531" s="96" t="s">
        <v>1808</v>
      </c>
      <c r="D531" s="96"/>
      <c r="E531" s="80">
        <f>-50000*120/110</f>
        <v>-54545.454545454544</v>
      </c>
    </row>
    <row r="532" spans="1:8" s="162" customFormat="1" x14ac:dyDescent="0.2">
      <c r="B532" s="96">
        <v>2018</v>
      </c>
      <c r="C532" s="96" t="s">
        <v>1817</v>
      </c>
      <c r="D532" s="96"/>
      <c r="E532" s="181">
        <f>E522</f>
        <v>18577.261197706044</v>
      </c>
    </row>
    <row r="533" spans="1:8" s="162" customFormat="1" x14ac:dyDescent="0.2">
      <c r="B533" s="96">
        <v>2018</v>
      </c>
      <c r="C533" s="96" t="s">
        <v>1818</v>
      </c>
      <c r="D533" s="96"/>
      <c r="E533" s="182">
        <f>E534-E532-E531-E530</f>
        <v>16961.847180514073</v>
      </c>
    </row>
    <row r="534" spans="1:8" s="162" customFormat="1" x14ac:dyDescent="0.2">
      <c r="B534" s="193">
        <v>43465</v>
      </c>
      <c r="C534" s="96" t="s">
        <v>1755</v>
      </c>
      <c r="D534" s="96"/>
      <c r="E534" s="176">
        <f>D503</f>
        <v>352538.87778688665</v>
      </c>
    </row>
    <row r="536" spans="1:8" x14ac:dyDescent="0.2">
      <c r="A536" s="156" t="s">
        <v>1762</v>
      </c>
      <c r="B536" s="1"/>
      <c r="C536" s="1"/>
      <c r="D536" s="1"/>
      <c r="E536" s="1"/>
      <c r="F536" s="1"/>
      <c r="G536" s="1"/>
      <c r="H536" s="1"/>
    </row>
    <row r="537" spans="1:8" x14ac:dyDescent="0.2">
      <c r="A537" s="1" t="s">
        <v>1819</v>
      </c>
    </row>
    <row r="538" spans="1:8" x14ac:dyDescent="0.2">
      <c r="A538" s="1" t="s">
        <v>1820</v>
      </c>
    </row>
    <row r="540" spans="1:8" s="162" customFormat="1" x14ac:dyDescent="0.2">
      <c r="D540" s="82">
        <v>0.05</v>
      </c>
      <c r="E540" s="96" t="s">
        <v>1267</v>
      </c>
    </row>
    <row r="541" spans="1:8" s="162" customFormat="1" x14ac:dyDescent="0.2">
      <c r="D541" s="96">
        <v>1</v>
      </c>
      <c r="E541" s="96" t="s">
        <v>1821</v>
      </c>
    </row>
    <row r="542" spans="1:8" s="162" customFormat="1" x14ac:dyDescent="0.2">
      <c r="D542" s="96">
        <v>8</v>
      </c>
      <c r="E542" s="96" t="s">
        <v>1268</v>
      </c>
    </row>
    <row r="543" spans="1:8" s="162" customFormat="1" x14ac:dyDescent="0.2">
      <c r="D543" s="157">
        <f>E534</f>
        <v>352538.87778688665</v>
      </c>
      <c r="E543" s="96" t="s">
        <v>1726</v>
      </c>
    </row>
    <row r="544" spans="1:8" s="162" customFormat="1" x14ac:dyDescent="0.2">
      <c r="D544" s="96">
        <v>0</v>
      </c>
      <c r="E544" s="96" t="s">
        <v>1727</v>
      </c>
    </row>
    <row r="545" spans="1:5" s="162" customFormat="1" x14ac:dyDescent="0.2">
      <c r="D545" s="177">
        <f>PPMT(D540,D541,D542,D543,D544)</f>
        <v>-36918.5106561102</v>
      </c>
      <c r="E545" s="96" t="s">
        <v>1822</v>
      </c>
    </row>
    <row r="546" spans="1:5" s="162" customFormat="1" x14ac:dyDescent="0.2"/>
    <row r="547" spans="1:5" s="162" customFormat="1" x14ac:dyDescent="0.2">
      <c r="B547" s="96" t="s">
        <v>1785</v>
      </c>
      <c r="E547" s="80">
        <f>E534</f>
        <v>352538.87778688665</v>
      </c>
    </row>
    <row r="548" spans="1:5" s="162" customFormat="1" x14ac:dyDescent="0.2">
      <c r="B548" s="96" t="s">
        <v>1760</v>
      </c>
      <c r="E548" s="181">
        <f>D545</f>
        <v>-36918.5106561102</v>
      </c>
    </row>
    <row r="549" spans="1:5" s="162" customFormat="1" x14ac:dyDescent="0.2">
      <c r="B549" s="96" t="s">
        <v>1761</v>
      </c>
      <c r="E549" s="191">
        <f>E547+E548</f>
        <v>315620.36713077646</v>
      </c>
    </row>
    <row r="551" spans="1:5" x14ac:dyDescent="0.2">
      <c r="A551" s="156" t="s">
        <v>1766</v>
      </c>
    </row>
    <row r="552" spans="1:5" x14ac:dyDescent="0.2">
      <c r="A552" s="1" t="s">
        <v>1767</v>
      </c>
    </row>
    <row r="553" spans="1:5" x14ac:dyDescent="0.2">
      <c r="A553" s="1" t="s">
        <v>1823</v>
      </c>
    </row>
    <row r="554" spans="1:5" s="1" customFormat="1" x14ac:dyDescent="0.2">
      <c r="A554" s="1" t="s">
        <v>1824</v>
      </c>
    </row>
    <row r="555" spans="1:5" s="1" customFormat="1" x14ac:dyDescent="0.2"/>
    <row r="556" spans="1:5" s="96" customFormat="1" x14ac:dyDescent="0.2">
      <c r="B556" s="96" t="s">
        <v>120</v>
      </c>
      <c r="C556" s="96" t="s">
        <v>490</v>
      </c>
    </row>
    <row r="557" spans="1:5" s="96" customFormat="1" x14ac:dyDescent="0.2">
      <c r="B557" s="193">
        <v>43100</v>
      </c>
      <c r="C557" s="96" t="s">
        <v>1825</v>
      </c>
      <c r="E557" s="157">
        <f>D478</f>
        <v>365904.93925796216</v>
      </c>
    </row>
    <row r="558" spans="1:5" s="96" customFormat="1" x14ac:dyDescent="0.2">
      <c r="B558" s="193">
        <v>43465</v>
      </c>
      <c r="C558" s="96" t="s">
        <v>1826</v>
      </c>
      <c r="E558" s="80">
        <f>-D478/9</f>
        <v>-40656.104361995793</v>
      </c>
    </row>
    <row r="559" spans="1:5" s="96" customFormat="1" x14ac:dyDescent="0.2">
      <c r="B559" s="193">
        <v>43465</v>
      </c>
      <c r="C559" s="96" t="s">
        <v>1818</v>
      </c>
      <c r="E559" s="80">
        <f>E533</f>
        <v>16961.847180514073</v>
      </c>
    </row>
    <row r="560" spans="1:5" s="96" customFormat="1" x14ac:dyDescent="0.2">
      <c r="B560" s="193">
        <v>43465</v>
      </c>
      <c r="C560" s="96" t="s">
        <v>1827</v>
      </c>
      <c r="E560" s="177">
        <f>SUM(E557:E559)</f>
        <v>342210.68207648041</v>
      </c>
    </row>
    <row r="561" spans="1:8" s="1" customFormat="1" x14ac:dyDescent="0.2"/>
    <row r="562" spans="1:8" s="1" customFormat="1" x14ac:dyDescent="0.2">
      <c r="A562" s="156" t="s">
        <v>1830</v>
      </c>
    </row>
    <row r="563" spans="1:8" s="1" customFormat="1" x14ac:dyDescent="0.2">
      <c r="A563" s="156"/>
    </row>
    <row r="564" spans="1:8" s="96" customFormat="1" x14ac:dyDescent="0.2">
      <c r="A564" s="96" t="s">
        <v>1776</v>
      </c>
      <c r="D564" s="193">
        <v>43100</v>
      </c>
      <c r="E564" s="193">
        <v>43465</v>
      </c>
    </row>
    <row r="565" spans="1:8" s="96" customFormat="1" x14ac:dyDescent="0.2">
      <c r="A565" s="96" t="s">
        <v>1773</v>
      </c>
      <c r="D565" s="158">
        <f>D476</f>
        <v>404513.61390388623</v>
      </c>
      <c r="E565" s="158">
        <f>D565+E559</f>
        <v>421475.4610844003</v>
      </c>
    </row>
    <row r="566" spans="1:8" s="96" customFormat="1" x14ac:dyDescent="0.2">
      <c r="A566" s="96" t="s">
        <v>1774</v>
      </c>
      <c r="D566" s="80">
        <f>D477</f>
        <v>-38608.67464592406</v>
      </c>
      <c r="E566" s="80">
        <f>D566+E558</f>
        <v>-79264.77900791986</v>
      </c>
    </row>
    <row r="567" spans="1:8" s="96" customFormat="1" x14ac:dyDescent="0.2">
      <c r="A567" s="96" t="s">
        <v>1775</v>
      </c>
      <c r="D567" s="159">
        <f>D565+D566</f>
        <v>365904.93925796216</v>
      </c>
      <c r="E567" s="159">
        <f>E560</f>
        <v>342210.68207648041</v>
      </c>
    </row>
    <row r="568" spans="1:8" s="96" customFormat="1" x14ac:dyDescent="0.2"/>
    <row r="569" spans="1:8" s="96" customFormat="1" x14ac:dyDescent="0.2">
      <c r="A569" s="96" t="s">
        <v>1783</v>
      </c>
      <c r="D569" s="80">
        <f>D480</f>
        <v>33695.466075021228</v>
      </c>
      <c r="E569" s="80">
        <f>-E548</f>
        <v>36918.5106561102</v>
      </c>
    </row>
    <row r="570" spans="1:8" s="96" customFormat="1" x14ac:dyDescent="0.2">
      <c r="A570" s="96" t="s">
        <v>1784</v>
      </c>
      <c r="D570" s="80">
        <f>D481</f>
        <v>337849.75787909981</v>
      </c>
      <c r="E570" s="80">
        <f>E549</f>
        <v>315620.36713077646</v>
      </c>
    </row>
    <row r="571" spans="1:8" s="96" customFormat="1" x14ac:dyDescent="0.2"/>
    <row r="572" spans="1:8" s="96" customFormat="1" x14ac:dyDescent="0.2">
      <c r="A572" s="96" t="s">
        <v>1777</v>
      </c>
      <c r="D572" s="160">
        <v>2017</v>
      </c>
      <c r="E572" s="160">
        <v>2018</v>
      </c>
    </row>
    <row r="573" spans="1:8" s="96" customFormat="1" x14ac:dyDescent="0.2">
      <c r="A573" s="96" t="s">
        <v>1778</v>
      </c>
      <c r="D573" s="157">
        <f>D484</f>
        <v>38608.67464592406</v>
      </c>
      <c r="E573" s="157">
        <f>-E558</f>
        <v>40656.104361995793</v>
      </c>
    </row>
    <row r="574" spans="1:8" s="96" customFormat="1" x14ac:dyDescent="0.2">
      <c r="A574" s="96" t="s">
        <v>1780</v>
      </c>
      <c r="D574" s="157">
        <f>D485</f>
        <v>19304.337322962121</v>
      </c>
      <c r="E574" s="157">
        <f>E522</f>
        <v>18577.261197706044</v>
      </c>
    </row>
    <row r="575" spans="1:8" x14ac:dyDescent="0.2">
      <c r="D575" s="162"/>
    </row>
    <row r="576" spans="1:8" x14ac:dyDescent="0.2">
      <c r="A576" s="6" t="s">
        <v>1844</v>
      </c>
      <c r="B576" s="6"/>
      <c r="C576" s="6"/>
      <c r="D576" s="6"/>
      <c r="E576" s="6"/>
      <c r="F576" s="6"/>
      <c r="G576" s="6" t="s">
        <v>1964</v>
      </c>
      <c r="H576" s="152"/>
    </row>
    <row r="578" spans="1:1" s="1" customFormat="1" x14ac:dyDescent="0.2">
      <c r="A578" s="1" t="s">
        <v>1831</v>
      </c>
    </row>
    <row r="579" spans="1:1" s="1" customFormat="1" x14ac:dyDescent="0.2">
      <c r="A579" s="1" t="s">
        <v>1832</v>
      </c>
    </row>
    <row r="580" spans="1:1" s="1" customFormat="1" x14ac:dyDescent="0.2">
      <c r="A580" s="1" t="s">
        <v>1833</v>
      </c>
    </row>
    <row r="581" spans="1:1" s="1" customFormat="1" x14ac:dyDescent="0.2">
      <c r="A581" s="1" t="s">
        <v>1834</v>
      </c>
    </row>
    <row r="582" spans="1:1" s="1" customFormat="1" x14ac:dyDescent="0.2">
      <c r="A582" s="1" t="s">
        <v>1835</v>
      </c>
    </row>
    <row r="583" spans="1:1" s="1" customFormat="1" x14ac:dyDescent="0.2">
      <c r="A583" s="1" t="s">
        <v>1836</v>
      </c>
    </row>
    <row r="584" spans="1:1" s="1" customFormat="1" x14ac:dyDescent="0.2">
      <c r="A584" s="1" t="s">
        <v>1837</v>
      </c>
    </row>
    <row r="585" spans="1:1" s="1" customFormat="1" x14ac:dyDescent="0.2">
      <c r="A585" s="1" t="s">
        <v>1838</v>
      </c>
    </row>
    <row r="586" spans="1:1" s="1" customFormat="1" x14ac:dyDescent="0.2">
      <c r="A586" s="1" t="s">
        <v>1839</v>
      </c>
    </row>
    <row r="587" spans="1:1" s="1" customFormat="1" x14ac:dyDescent="0.2">
      <c r="A587" s="1" t="s">
        <v>1840</v>
      </c>
    </row>
    <row r="588" spans="1:1" s="1" customFormat="1" x14ac:dyDescent="0.2">
      <c r="A588" s="1" t="s">
        <v>1841</v>
      </c>
    </row>
    <row r="589" spans="1:1" s="1" customFormat="1" x14ac:dyDescent="0.2">
      <c r="A589" s="1" t="s">
        <v>1842</v>
      </c>
    </row>
    <row r="590" spans="1:1" s="1" customFormat="1" x14ac:dyDescent="0.2">
      <c r="A590" s="1" t="s">
        <v>1843</v>
      </c>
    </row>
    <row r="592" spans="1:1" x14ac:dyDescent="0.2">
      <c r="A592" s="1" t="s">
        <v>876</v>
      </c>
    </row>
    <row r="593" spans="1:8" x14ac:dyDescent="0.2">
      <c r="A593" s="1" t="s">
        <v>1853</v>
      </c>
    </row>
    <row r="594" spans="1:8" x14ac:dyDescent="0.2">
      <c r="A594" s="1"/>
    </row>
    <row r="595" spans="1:8" x14ac:dyDescent="0.2">
      <c r="A595" s="3" t="s">
        <v>1505</v>
      </c>
    </row>
    <row r="596" spans="1:8" ht="17" thickBot="1" x14ac:dyDescent="0.25"/>
    <row r="597" spans="1:8" ht="17" thickBot="1" x14ac:dyDescent="0.25">
      <c r="A597" s="57" t="s">
        <v>1747</v>
      </c>
      <c r="B597" s="163"/>
      <c r="C597" s="163"/>
      <c r="D597" s="163"/>
      <c r="E597" s="163"/>
      <c r="F597" s="163"/>
      <c r="G597" s="163"/>
      <c r="H597" s="164"/>
    </row>
    <row r="599" spans="1:8" x14ac:dyDescent="0.2">
      <c r="A599" s="156" t="s">
        <v>1756</v>
      </c>
    </row>
    <row r="600" spans="1:8" s="1" customFormat="1" x14ac:dyDescent="0.2">
      <c r="A600" s="1" t="s">
        <v>1748</v>
      </c>
    </row>
    <row r="601" spans="1:8" s="1" customFormat="1" x14ac:dyDescent="0.2">
      <c r="A601" s="1" t="s">
        <v>1749</v>
      </c>
    </row>
    <row r="602" spans="1:8" s="96" customFormat="1" x14ac:dyDescent="0.2"/>
    <row r="603" spans="1:8" s="162" customFormat="1" x14ac:dyDescent="0.2">
      <c r="D603" s="82">
        <v>0.05</v>
      </c>
      <c r="E603" s="96" t="s">
        <v>1267</v>
      </c>
    </row>
    <row r="604" spans="1:8" s="162" customFormat="1" x14ac:dyDescent="0.2">
      <c r="D604" s="96">
        <v>10</v>
      </c>
      <c r="E604" s="96" t="s">
        <v>1268</v>
      </c>
    </row>
    <row r="605" spans="1:8" s="162" customFormat="1" x14ac:dyDescent="0.2">
      <c r="D605" s="157">
        <v>-50000</v>
      </c>
      <c r="E605" s="96" t="s">
        <v>1269</v>
      </c>
    </row>
    <row r="606" spans="1:8" s="162" customFormat="1" x14ac:dyDescent="0.2">
      <c r="D606" s="177">
        <f>PV(D603,D604,D605,D607,1)</f>
        <v>405391.08378220268</v>
      </c>
      <c r="E606" s="96" t="s">
        <v>1726</v>
      </c>
    </row>
    <row r="607" spans="1:8" s="162" customFormat="1" x14ac:dyDescent="0.2">
      <c r="D607" s="157">
        <v>0</v>
      </c>
      <c r="E607" s="96" t="s">
        <v>1727</v>
      </c>
    </row>
    <row r="609" spans="1:8" x14ac:dyDescent="0.2">
      <c r="A609" s="156" t="s">
        <v>1757</v>
      </c>
    </row>
    <row r="610" spans="1:8" x14ac:dyDescent="0.2">
      <c r="A610" s="96" t="s">
        <v>1848</v>
      </c>
    </row>
    <row r="611" spans="1:8" x14ac:dyDescent="0.2">
      <c r="A611" s="1" t="s">
        <v>1849</v>
      </c>
      <c r="B611" s="1"/>
      <c r="C611" s="1"/>
      <c r="D611" s="1"/>
      <c r="E611" s="1"/>
      <c r="F611" s="1"/>
      <c r="G611" s="1"/>
      <c r="H611" s="1"/>
    </row>
    <row r="612" spans="1:8" x14ac:dyDescent="0.2">
      <c r="A612" s="1" t="s">
        <v>398</v>
      </c>
      <c r="B612" s="1"/>
      <c r="C612" s="1"/>
      <c r="D612" s="1"/>
      <c r="E612" s="1"/>
      <c r="F612" s="1"/>
      <c r="G612" s="1"/>
      <c r="H612" s="1"/>
    </row>
    <row r="613" spans="1:8" x14ac:dyDescent="0.2">
      <c r="A613" s="1"/>
      <c r="B613" s="1"/>
      <c r="C613" s="1"/>
      <c r="D613" s="1"/>
      <c r="E613" s="1"/>
      <c r="F613" s="1"/>
      <c r="G613" s="1"/>
      <c r="H613" s="1"/>
    </row>
    <row r="614" spans="1:8" s="162" customFormat="1" x14ac:dyDescent="0.2">
      <c r="B614" s="96" t="s">
        <v>1755</v>
      </c>
      <c r="C614" s="96"/>
      <c r="D614" s="157">
        <f>D606</f>
        <v>405391.08378220268</v>
      </c>
    </row>
    <row r="615" spans="1:8" s="162" customFormat="1" x14ac:dyDescent="0.2">
      <c r="B615" s="96" t="s">
        <v>1845</v>
      </c>
      <c r="C615" s="96"/>
      <c r="D615" s="157">
        <v>20000</v>
      </c>
    </row>
    <row r="616" spans="1:8" s="162" customFormat="1" x14ac:dyDescent="0.2">
      <c r="B616" s="96" t="s">
        <v>1846</v>
      </c>
      <c r="C616" s="96"/>
      <c r="D616" s="80">
        <v>-5000</v>
      </c>
    </row>
    <row r="617" spans="1:8" s="162" customFormat="1" x14ac:dyDescent="0.2">
      <c r="B617" s="96" t="s">
        <v>1847</v>
      </c>
      <c r="C617" s="96"/>
      <c r="D617" s="159">
        <f>SUM(D614:D616)</f>
        <v>420391.08378220268</v>
      </c>
    </row>
    <row r="619" spans="1:8" x14ac:dyDescent="0.2">
      <c r="A619" s="156" t="s">
        <v>1758</v>
      </c>
      <c r="B619" s="1"/>
      <c r="C619" s="1"/>
      <c r="D619" s="1"/>
      <c r="E619" s="1"/>
      <c r="F619" s="1"/>
      <c r="G619" s="1"/>
      <c r="H619" s="1"/>
    </row>
    <row r="620" spans="1:8" x14ac:dyDescent="0.2">
      <c r="A620" s="1"/>
      <c r="B620" s="1"/>
      <c r="C620" s="1"/>
      <c r="D620" s="1"/>
      <c r="E620" s="1"/>
      <c r="F620" s="1"/>
      <c r="G620" s="1"/>
      <c r="H620" s="1"/>
    </row>
    <row r="621" spans="1:8" s="162" customFormat="1" x14ac:dyDescent="0.2">
      <c r="D621" s="82">
        <f>D603</f>
        <v>0.05</v>
      </c>
      <c r="E621" s="96" t="s">
        <v>1267</v>
      </c>
    </row>
    <row r="622" spans="1:8" s="162" customFormat="1" x14ac:dyDescent="0.2">
      <c r="D622" s="96">
        <f>D604-1</f>
        <v>9</v>
      </c>
      <c r="E622" s="96" t="s">
        <v>1268</v>
      </c>
    </row>
    <row r="623" spans="1:8" s="162" customFormat="1" x14ac:dyDescent="0.2">
      <c r="D623" s="157">
        <f>D605</f>
        <v>-50000</v>
      </c>
      <c r="E623" s="96" t="s">
        <v>1269</v>
      </c>
    </row>
    <row r="624" spans="1:8" s="162" customFormat="1" x14ac:dyDescent="0.2">
      <c r="D624" s="177">
        <f>PV(D621,D622,D623,D625,1)</f>
        <v>373160.63797131286</v>
      </c>
      <c r="E624" s="96" t="s">
        <v>1726</v>
      </c>
    </row>
    <row r="625" spans="1:8" s="162" customFormat="1" x14ac:dyDescent="0.2">
      <c r="D625" s="157">
        <v>0</v>
      </c>
      <c r="E625" s="96" t="s">
        <v>1727</v>
      </c>
    </row>
    <row r="626" spans="1:8" s="162" customFormat="1" x14ac:dyDescent="0.2"/>
    <row r="627" spans="1:8" x14ac:dyDescent="0.2">
      <c r="A627" s="156" t="s">
        <v>1763</v>
      </c>
      <c r="B627" s="1"/>
      <c r="C627" s="1"/>
      <c r="D627" s="1"/>
      <c r="E627" s="1"/>
      <c r="F627" s="1"/>
      <c r="G627" s="1"/>
      <c r="H627" s="1"/>
    </row>
    <row r="628" spans="1:8" x14ac:dyDescent="0.2">
      <c r="B628" s="16" t="s">
        <v>120</v>
      </c>
      <c r="C628" s="16" t="s">
        <v>490</v>
      </c>
      <c r="D628" s="16"/>
      <c r="E628" s="16" t="s">
        <v>466</v>
      </c>
    </row>
    <row r="629" spans="1:8" s="162" customFormat="1" x14ac:dyDescent="0.2">
      <c r="B629" s="193">
        <v>43100</v>
      </c>
      <c r="C629" s="96" t="s">
        <v>1755</v>
      </c>
      <c r="D629" s="96"/>
      <c r="E629" s="157">
        <f>D606</f>
        <v>405391.08378220268</v>
      </c>
    </row>
    <row r="630" spans="1:8" s="162" customFormat="1" x14ac:dyDescent="0.2">
      <c r="B630" s="193">
        <v>43101</v>
      </c>
      <c r="C630" s="96" t="s">
        <v>1764</v>
      </c>
      <c r="D630" s="96"/>
      <c r="E630" s="80">
        <f>-50000</f>
        <v>-50000</v>
      </c>
    </row>
    <row r="631" spans="1:8" s="162" customFormat="1" x14ac:dyDescent="0.2">
      <c r="B631" s="96">
        <v>2018</v>
      </c>
      <c r="C631" s="96" t="s">
        <v>1765</v>
      </c>
      <c r="D631" s="96"/>
      <c r="E631" s="177">
        <f>E632-E630-E629</f>
        <v>17769.554189110175</v>
      </c>
    </row>
    <row r="632" spans="1:8" s="162" customFormat="1" x14ac:dyDescent="0.2">
      <c r="B632" s="193">
        <v>43465</v>
      </c>
      <c r="C632" s="96" t="s">
        <v>1755</v>
      </c>
      <c r="D632" s="96"/>
      <c r="E632" s="176">
        <f>D624</f>
        <v>373160.63797131286</v>
      </c>
    </row>
    <row r="634" spans="1:8" x14ac:dyDescent="0.2">
      <c r="A634" s="156" t="s">
        <v>1762</v>
      </c>
      <c r="B634" s="1"/>
      <c r="C634" s="1"/>
      <c r="D634" s="1"/>
      <c r="E634" s="1"/>
      <c r="F634" s="1"/>
      <c r="G634" s="1"/>
      <c r="H634" s="1"/>
    </row>
    <row r="636" spans="1:8" s="162" customFormat="1" x14ac:dyDescent="0.2">
      <c r="B636" s="96" t="s">
        <v>1759</v>
      </c>
      <c r="E636" s="80">
        <f>E632</f>
        <v>373160.63797131286</v>
      </c>
    </row>
    <row r="637" spans="1:8" s="162" customFormat="1" x14ac:dyDescent="0.2">
      <c r="B637" s="96" t="s">
        <v>1760</v>
      </c>
      <c r="E637" s="80">
        <f>E630</f>
        <v>-50000</v>
      </c>
    </row>
    <row r="638" spans="1:8" s="162" customFormat="1" x14ac:dyDescent="0.2">
      <c r="B638" s="96" t="s">
        <v>1761</v>
      </c>
      <c r="E638" s="99">
        <f>E636+E637</f>
        <v>323160.63797131286</v>
      </c>
    </row>
    <row r="640" spans="1:8" x14ac:dyDescent="0.2">
      <c r="A640" s="156" t="s">
        <v>1766</v>
      </c>
    </row>
    <row r="641" spans="1:5" x14ac:dyDescent="0.2">
      <c r="A641" s="1" t="s">
        <v>1767</v>
      </c>
    </row>
    <row r="642" spans="1:5" x14ac:dyDescent="0.2">
      <c r="A642" s="1" t="s">
        <v>1850</v>
      </c>
    </row>
    <row r="643" spans="1:5" s="1" customFormat="1" x14ac:dyDescent="0.2">
      <c r="A643" s="1" t="s">
        <v>1851</v>
      </c>
    </row>
    <row r="644" spans="1:5" s="1" customFormat="1" x14ac:dyDescent="0.2"/>
    <row r="645" spans="1:5" s="96" customFormat="1" x14ac:dyDescent="0.2">
      <c r="B645" s="96" t="s">
        <v>1852</v>
      </c>
      <c r="E645" s="177">
        <f>D617/10</f>
        <v>42039.10837822027</v>
      </c>
    </row>
    <row r="647" spans="1:5" s="1" customFormat="1" x14ac:dyDescent="0.2">
      <c r="A647" s="156" t="s">
        <v>1772</v>
      </c>
    </row>
    <row r="648" spans="1:5" s="1" customFormat="1" x14ac:dyDescent="0.2">
      <c r="A648" s="156"/>
    </row>
    <row r="649" spans="1:5" s="96" customFormat="1" x14ac:dyDescent="0.2">
      <c r="A649" s="96" t="s">
        <v>1776</v>
      </c>
      <c r="D649" s="193">
        <v>43100</v>
      </c>
    </row>
    <row r="650" spans="1:5" s="96" customFormat="1" x14ac:dyDescent="0.2">
      <c r="A650" s="96" t="s">
        <v>1773</v>
      </c>
      <c r="D650" s="158">
        <f>D617</f>
        <v>420391.08378220268</v>
      </c>
    </row>
    <row r="651" spans="1:5" s="96" customFormat="1" x14ac:dyDescent="0.2">
      <c r="A651" s="96" t="s">
        <v>1774</v>
      </c>
      <c r="D651" s="80">
        <f>-E645</f>
        <v>-42039.10837822027</v>
      </c>
    </row>
    <row r="652" spans="1:5" s="96" customFormat="1" x14ac:dyDescent="0.2">
      <c r="A652" s="96" t="s">
        <v>1775</v>
      </c>
      <c r="D652" s="159">
        <f>D650+D651</f>
        <v>378351.97540398239</v>
      </c>
    </row>
    <row r="653" spans="1:5" s="96" customFormat="1" x14ac:dyDescent="0.2"/>
    <row r="654" spans="1:5" s="96" customFormat="1" x14ac:dyDescent="0.2">
      <c r="A654" s="96" t="s">
        <v>1783</v>
      </c>
      <c r="D654" s="80">
        <f>-E637</f>
        <v>50000</v>
      </c>
    </row>
    <row r="655" spans="1:5" s="96" customFormat="1" x14ac:dyDescent="0.2">
      <c r="A655" s="96" t="s">
        <v>1784</v>
      </c>
      <c r="D655" s="80">
        <f>E638</f>
        <v>323160.63797131286</v>
      </c>
    </row>
    <row r="656" spans="1:5" s="96" customFormat="1" x14ac:dyDescent="0.2"/>
    <row r="657" spans="1:8" s="96" customFormat="1" x14ac:dyDescent="0.2">
      <c r="A657" s="96" t="s">
        <v>1777</v>
      </c>
      <c r="D657" s="160">
        <v>2017</v>
      </c>
    </row>
    <row r="658" spans="1:8" s="96" customFormat="1" x14ac:dyDescent="0.2">
      <c r="A658" s="96" t="s">
        <v>1778</v>
      </c>
      <c r="D658" s="157">
        <f>E645</f>
        <v>42039.10837822027</v>
      </c>
    </row>
    <row r="659" spans="1:8" s="96" customFormat="1" x14ac:dyDescent="0.2">
      <c r="A659" s="96" t="s">
        <v>1780</v>
      </c>
      <c r="D659" s="157">
        <f>E631</f>
        <v>17769.554189110175</v>
      </c>
    </row>
    <row r="660" spans="1:8" ht="17" thickBot="1" x14ac:dyDescent="0.25"/>
    <row r="661" spans="1:8" ht="17" thickBot="1" x14ac:dyDescent="0.25">
      <c r="A661" s="57" t="s">
        <v>1871</v>
      </c>
      <c r="B661" s="163"/>
      <c r="C661" s="163"/>
      <c r="D661" s="163"/>
      <c r="E661" s="163"/>
      <c r="F661" s="163"/>
      <c r="G661" s="163"/>
      <c r="H661" s="164"/>
    </row>
    <row r="663" spans="1:8" x14ac:dyDescent="0.2">
      <c r="A663" s="1" t="s">
        <v>1854</v>
      </c>
    </row>
    <row r="664" spans="1:8" x14ac:dyDescent="0.2">
      <c r="A664" s="1" t="s">
        <v>1855</v>
      </c>
    </row>
    <row r="665" spans="1:8" s="1" customFormat="1" x14ac:dyDescent="0.2"/>
    <row r="666" spans="1:8" s="96" customFormat="1" x14ac:dyDescent="0.2">
      <c r="D666" s="193">
        <v>44926</v>
      </c>
    </row>
    <row r="667" spans="1:8" s="96" customFormat="1" x14ac:dyDescent="0.2">
      <c r="B667" s="96" t="s">
        <v>1773</v>
      </c>
      <c r="D667" s="158">
        <f>D650</f>
        <v>420391.08378220268</v>
      </c>
    </row>
    <row r="668" spans="1:8" s="96" customFormat="1" x14ac:dyDescent="0.2">
      <c r="B668" s="96" t="s">
        <v>1774</v>
      </c>
      <c r="D668" s="80">
        <f>D651*6</f>
        <v>-252234.65026932163</v>
      </c>
    </row>
    <row r="669" spans="1:8" s="96" customFormat="1" x14ac:dyDescent="0.2">
      <c r="B669" s="96" t="s">
        <v>1775</v>
      </c>
      <c r="D669" s="159">
        <f>D667+D668</f>
        <v>168156.43351288105</v>
      </c>
    </row>
    <row r="670" spans="1:8" s="96" customFormat="1" x14ac:dyDescent="0.2"/>
    <row r="671" spans="1:8" s="1" customFormat="1" x14ac:dyDescent="0.2">
      <c r="A671" s="1" t="s">
        <v>1856</v>
      </c>
    </row>
    <row r="672" spans="1:8" s="1" customFormat="1" x14ac:dyDescent="0.2">
      <c r="A672" s="1" t="s">
        <v>1857</v>
      </c>
    </row>
    <row r="673" spans="1:8" x14ac:dyDescent="0.2">
      <c r="A673" s="1" t="s">
        <v>1858</v>
      </c>
    </row>
    <row r="674" spans="1:8" s="1" customFormat="1" x14ac:dyDescent="0.2">
      <c r="A674" s="1" t="s">
        <v>1859</v>
      </c>
    </row>
    <row r="675" spans="1:8" s="1" customFormat="1" x14ac:dyDescent="0.2"/>
    <row r="676" spans="1:8" s="96" customFormat="1" x14ac:dyDescent="0.2">
      <c r="B676" s="96" t="s">
        <v>1860</v>
      </c>
      <c r="D676" s="96" t="s">
        <v>1861</v>
      </c>
    </row>
    <row r="677" spans="1:8" s="96" customFormat="1" x14ac:dyDescent="0.2">
      <c r="B677" s="193">
        <v>44927</v>
      </c>
      <c r="D677" s="80">
        <v>50000</v>
      </c>
    </row>
    <row r="678" spans="1:8" s="96" customFormat="1" x14ac:dyDescent="0.2">
      <c r="B678" s="193">
        <v>45292</v>
      </c>
      <c r="D678" s="80">
        <v>50000</v>
      </c>
    </row>
    <row r="679" spans="1:8" s="96" customFormat="1" x14ac:dyDescent="0.2">
      <c r="B679" s="193">
        <v>45658</v>
      </c>
      <c r="D679" s="80">
        <v>50000</v>
      </c>
    </row>
    <row r="680" spans="1:8" s="96" customFormat="1" x14ac:dyDescent="0.2">
      <c r="B680" s="193">
        <v>46023</v>
      </c>
      <c r="D680" s="80">
        <v>50000</v>
      </c>
    </row>
    <row r="681" spans="1:8" s="96" customFormat="1" x14ac:dyDescent="0.2">
      <c r="B681" s="193">
        <v>46388</v>
      </c>
      <c r="D681" s="80">
        <v>55000</v>
      </c>
    </row>
    <row r="682" spans="1:8" s="96" customFormat="1" x14ac:dyDescent="0.2">
      <c r="B682" s="193">
        <v>46753</v>
      </c>
      <c r="D682" s="80">
        <v>55000</v>
      </c>
    </row>
    <row r="683" spans="1:8" s="96" customFormat="1" x14ac:dyDescent="0.2">
      <c r="B683" s="193">
        <v>47119</v>
      </c>
      <c r="D683" s="80">
        <v>55000</v>
      </c>
    </row>
    <row r="684" spans="1:8" s="96" customFormat="1" x14ac:dyDescent="0.2"/>
    <row r="685" spans="1:8" s="96" customFormat="1" x14ac:dyDescent="0.2">
      <c r="B685" s="96" t="s">
        <v>1867</v>
      </c>
      <c r="D685" s="82">
        <v>0.06</v>
      </c>
      <c r="F685" s="96" t="s">
        <v>1868</v>
      </c>
      <c r="H685" s="82">
        <v>0.05</v>
      </c>
    </row>
    <row r="686" spans="1:8" s="96" customFormat="1" x14ac:dyDescent="0.2"/>
    <row r="687" spans="1:8" s="96" customFormat="1" x14ac:dyDescent="0.2">
      <c r="B687" s="96" t="s">
        <v>1862</v>
      </c>
      <c r="D687" s="181">
        <f>NPV(D685,D678:D683)+D677</f>
        <v>307087.77818298823</v>
      </c>
      <c r="F687" s="96" t="s">
        <v>1866</v>
      </c>
      <c r="H687" s="181">
        <f>NPV(5%,D678:D680)+D677</f>
        <v>186162.40146852392</v>
      </c>
    </row>
    <row r="688" spans="1:8" s="96" customFormat="1" x14ac:dyDescent="0.2">
      <c r="B688" s="96" t="s">
        <v>1863</v>
      </c>
    </row>
    <row r="689" spans="1:8" s="96" customFormat="1" x14ac:dyDescent="0.2">
      <c r="B689" s="96" t="s">
        <v>1864</v>
      </c>
      <c r="D689" s="80">
        <v>50000</v>
      </c>
      <c r="F689" s="96" t="s">
        <v>1869</v>
      </c>
    </row>
    <row r="690" spans="1:8" s="96" customFormat="1" x14ac:dyDescent="0.2">
      <c r="B690" s="96" t="s">
        <v>1865</v>
      </c>
      <c r="D690" s="80">
        <f>D687-D689</f>
        <v>257087.77818298823</v>
      </c>
      <c r="H690" s="182">
        <f>D687-H687</f>
        <v>120925.37671446431</v>
      </c>
    </row>
    <row r="691" spans="1:8" s="1" customFormat="1" x14ac:dyDescent="0.2"/>
    <row r="692" spans="1:8" x14ac:dyDescent="0.2">
      <c r="A692" s="74" t="s">
        <v>1870</v>
      </c>
    </row>
    <row r="693" spans="1:8" s="162" customFormat="1" x14ac:dyDescent="0.2">
      <c r="A693" s="96"/>
      <c r="B693" s="96"/>
      <c r="C693" s="96"/>
      <c r="D693" s="94">
        <v>44926</v>
      </c>
    </row>
    <row r="694" spans="1:8" s="162" customFormat="1" x14ac:dyDescent="0.2">
      <c r="A694" s="96" t="s">
        <v>1773</v>
      </c>
      <c r="B694" s="96"/>
      <c r="C694" s="96"/>
      <c r="D694" s="157">
        <f>D667+H690</f>
        <v>541316.46049666696</v>
      </c>
    </row>
    <row r="695" spans="1:8" s="162" customFormat="1" x14ac:dyDescent="0.2">
      <c r="A695" s="96" t="s">
        <v>262</v>
      </c>
      <c r="B695" s="96"/>
      <c r="C695" s="96"/>
      <c r="D695" s="80">
        <f>D668</f>
        <v>-252234.65026932163</v>
      </c>
    </row>
    <row r="696" spans="1:8" s="162" customFormat="1" x14ac:dyDescent="0.2">
      <c r="A696" s="96" t="s">
        <v>1775</v>
      </c>
      <c r="B696" s="96"/>
      <c r="C696" s="96"/>
      <c r="D696" s="176">
        <f>D694+D695</f>
        <v>289081.81022734533</v>
      </c>
    </row>
    <row r="697" spans="1:8" s="162" customFormat="1" x14ac:dyDescent="0.2">
      <c r="A697" s="96"/>
      <c r="B697" s="96"/>
      <c r="C697" s="96"/>
      <c r="D697" s="96"/>
    </row>
    <row r="698" spans="1:8" s="162" customFormat="1" x14ac:dyDescent="0.2">
      <c r="A698" s="96" t="s">
        <v>1783</v>
      </c>
      <c r="B698" s="96"/>
      <c r="C698" s="96"/>
      <c r="D698" s="80">
        <f>D689</f>
        <v>50000</v>
      </c>
    </row>
    <row r="699" spans="1:8" s="162" customFormat="1" x14ac:dyDescent="0.2">
      <c r="A699" s="96" t="s">
        <v>1787</v>
      </c>
      <c r="B699" s="96"/>
      <c r="C699" s="96"/>
      <c r="D699" s="80">
        <f>D690</f>
        <v>257087.77818298823</v>
      </c>
    </row>
    <row r="700" spans="1:8" s="162" customFormat="1" x14ac:dyDescent="0.2"/>
    <row r="701" spans="1:8" s="162" customFormat="1" x14ac:dyDescent="0.2"/>
    <row r="702" spans="1:8" ht="17" thickBot="1" x14ac:dyDescent="0.25"/>
    <row r="703" spans="1:8" ht="17" thickBot="1" x14ac:dyDescent="0.25">
      <c r="A703" s="57" t="s">
        <v>1872</v>
      </c>
      <c r="B703" s="67"/>
      <c r="C703" s="67"/>
      <c r="D703" s="67"/>
      <c r="E703" s="67"/>
      <c r="F703" s="67"/>
      <c r="G703" s="67"/>
      <c r="H703" s="132"/>
    </row>
  </sheetData>
  <pageMargins left="0.7" right="0.7" top="0.75" bottom="0.75" header="0.3" footer="0.3"/>
  <pageSetup paperSize="9" scale="10" orientation="portrait" horizontalDpi="0" verticalDpi="0"/>
  <ignoredErrors>
    <ignoredError sqref="E431 D622" formula="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CC738-CB5C-6541-9480-106B371ECC80}">
  <dimension ref="A1:J549"/>
  <sheetViews>
    <sheetView rightToLeft="1" topLeftCell="A410" zoomScale="191" workbookViewId="0">
      <selection activeCell="A302" sqref="A302"/>
    </sheetView>
  </sheetViews>
  <sheetFormatPr baseColWidth="10" defaultRowHeight="16" x14ac:dyDescent="0.2"/>
  <cols>
    <col min="1" max="4" width="10.83203125" style="1"/>
    <col min="5" max="5" width="11.6640625" style="1" bestFit="1" customWidth="1"/>
    <col min="6" max="6" width="10.83203125" style="1"/>
    <col min="7" max="7" width="12.83203125" style="1" customWidth="1"/>
    <col min="8" max="8" width="21.83203125" style="1" customWidth="1"/>
    <col min="9" max="16384" width="10.83203125" style="1"/>
  </cols>
  <sheetData>
    <row r="1" spans="1:8" x14ac:dyDescent="0.2">
      <c r="A1" s="6" t="s">
        <v>1965</v>
      </c>
      <c r="B1" s="6"/>
      <c r="C1" s="6"/>
      <c r="D1" s="6"/>
      <c r="E1" s="6"/>
      <c r="F1" s="6"/>
      <c r="G1" s="34">
        <v>45357</v>
      </c>
      <c r="H1" s="6" t="s">
        <v>10</v>
      </c>
    </row>
    <row r="3" spans="1:8" x14ac:dyDescent="0.2">
      <c r="A3" s="1" t="s">
        <v>2201</v>
      </c>
    </row>
    <row r="4" spans="1:8" x14ac:dyDescent="0.2">
      <c r="A4" s="1" t="s">
        <v>2202</v>
      </c>
    </row>
    <row r="5" spans="1:8" x14ac:dyDescent="0.2">
      <c r="A5" s="1" t="s">
        <v>2203</v>
      </c>
    </row>
    <row r="6" spans="1:8" x14ac:dyDescent="0.2">
      <c r="A6" s="1" t="s">
        <v>2204</v>
      </c>
    </row>
    <row r="8" spans="1:8" x14ac:dyDescent="0.2">
      <c r="A8" s="194" t="s">
        <v>2205</v>
      </c>
      <c r="B8" s="194"/>
      <c r="C8" s="194"/>
      <c r="D8" s="194"/>
      <c r="E8" s="194"/>
      <c r="F8" s="194"/>
      <c r="G8" s="194"/>
      <c r="H8" s="194"/>
    </row>
    <row r="13" spans="1:8" x14ac:dyDescent="0.2">
      <c r="C13" s="1" t="s">
        <v>1967</v>
      </c>
      <c r="F13" s="1" t="s">
        <v>1966</v>
      </c>
    </row>
    <row r="14" spans="1:8" x14ac:dyDescent="0.2">
      <c r="C14" s="1" t="s">
        <v>2206</v>
      </c>
      <c r="F14" s="1" t="s">
        <v>2207</v>
      </c>
    </row>
    <row r="19" spans="1:8" x14ac:dyDescent="0.2">
      <c r="C19" s="1" t="s">
        <v>1968</v>
      </c>
      <c r="F19" s="1" t="s">
        <v>1968</v>
      </c>
    </row>
    <row r="20" spans="1:8" x14ac:dyDescent="0.2">
      <c r="C20" s="1" t="s">
        <v>1969</v>
      </c>
      <c r="F20" s="3" t="s">
        <v>1971</v>
      </c>
    </row>
    <row r="21" spans="1:8" x14ac:dyDescent="0.2">
      <c r="C21" s="1" t="s">
        <v>1970</v>
      </c>
      <c r="F21" s="1" t="s">
        <v>1970</v>
      </c>
    </row>
    <row r="23" spans="1:8" x14ac:dyDescent="0.2">
      <c r="A23" s="3" t="s">
        <v>2208</v>
      </c>
    </row>
    <row r="24" spans="1:8" x14ac:dyDescent="0.2">
      <c r="A24" s="3" t="s">
        <v>1972</v>
      </c>
    </row>
    <row r="26" spans="1:8" s="3" customFormat="1" x14ac:dyDescent="0.2">
      <c r="A26" s="195" t="s">
        <v>1973</v>
      </c>
      <c r="B26" s="195"/>
      <c r="C26" s="195"/>
      <c r="D26" s="195"/>
      <c r="E26" s="195"/>
      <c r="F26" s="195"/>
      <c r="G26" s="195"/>
      <c r="H26" s="195"/>
    </row>
    <row r="31" spans="1:8" x14ac:dyDescent="0.2">
      <c r="A31" s="2" t="s">
        <v>1974</v>
      </c>
      <c r="B31" s="2" t="s">
        <v>1979</v>
      </c>
      <c r="C31" s="2" t="s">
        <v>1985</v>
      </c>
      <c r="D31" s="2" t="s">
        <v>1990</v>
      </c>
      <c r="E31" s="2" t="s">
        <v>1994</v>
      </c>
      <c r="F31" s="2" t="s">
        <v>1997</v>
      </c>
      <c r="G31" s="2" t="s">
        <v>2004</v>
      </c>
      <c r="H31" s="2" t="s">
        <v>2008</v>
      </c>
    </row>
    <row r="32" spans="1:8" x14ac:dyDescent="0.2">
      <c r="A32" s="2" t="s">
        <v>1975</v>
      </c>
      <c r="B32" s="2" t="s">
        <v>1980</v>
      </c>
      <c r="C32" s="2" t="s">
        <v>1974</v>
      </c>
      <c r="D32" s="2" t="s">
        <v>1991</v>
      </c>
      <c r="E32" s="2" t="s">
        <v>1995</v>
      </c>
      <c r="F32" s="2" t="s">
        <v>1998</v>
      </c>
      <c r="G32" s="2" t="s">
        <v>2005</v>
      </c>
      <c r="H32" s="2" t="s">
        <v>2009</v>
      </c>
    </row>
    <row r="33" spans="1:8" x14ac:dyDescent="0.2">
      <c r="A33" s="2" t="s">
        <v>1976</v>
      </c>
      <c r="B33" s="2" t="s">
        <v>1981</v>
      </c>
      <c r="C33" s="2" t="s">
        <v>1986</v>
      </c>
      <c r="D33" s="2" t="s">
        <v>1974</v>
      </c>
      <c r="E33" s="2" t="s">
        <v>1996</v>
      </c>
      <c r="F33" s="2" t="s">
        <v>1999</v>
      </c>
      <c r="G33" s="2" t="s">
        <v>2006</v>
      </c>
      <c r="H33" s="2" t="s">
        <v>2010</v>
      </c>
    </row>
    <row r="34" spans="1:8" x14ac:dyDescent="0.2">
      <c r="A34" s="2" t="s">
        <v>1977</v>
      </c>
      <c r="B34" s="2" t="s">
        <v>1982</v>
      </c>
      <c r="C34" s="2" t="s">
        <v>1987</v>
      </c>
      <c r="D34" s="2" t="s">
        <v>1992</v>
      </c>
      <c r="E34" s="2" t="s">
        <v>2210</v>
      </c>
      <c r="F34" s="2" t="s">
        <v>2000</v>
      </c>
      <c r="G34" s="2" t="s">
        <v>2007</v>
      </c>
      <c r="H34" s="2" t="s">
        <v>2011</v>
      </c>
    </row>
    <row r="35" spans="1:8" x14ac:dyDescent="0.2">
      <c r="A35" s="2" t="s">
        <v>1978</v>
      </c>
      <c r="B35" s="69" t="s">
        <v>1983</v>
      </c>
      <c r="C35" s="2" t="s">
        <v>1988</v>
      </c>
      <c r="D35" s="2" t="s">
        <v>1993</v>
      </c>
      <c r="E35" s="2" t="s">
        <v>2211</v>
      </c>
      <c r="F35" s="2" t="s">
        <v>2001</v>
      </c>
      <c r="G35" s="2"/>
      <c r="H35" s="2" t="s">
        <v>2012</v>
      </c>
    </row>
    <row r="36" spans="1:8" x14ac:dyDescent="0.2">
      <c r="A36" s="2"/>
      <c r="B36" s="2" t="s">
        <v>1984</v>
      </c>
      <c r="C36" s="2" t="s">
        <v>1989</v>
      </c>
      <c r="D36" s="2" t="s">
        <v>2209</v>
      </c>
      <c r="E36" s="2" t="s">
        <v>2212</v>
      </c>
      <c r="F36" s="2" t="s">
        <v>2002</v>
      </c>
      <c r="G36" s="2"/>
      <c r="H36" s="2"/>
    </row>
    <row r="37" spans="1:8" x14ac:dyDescent="0.2">
      <c r="A37" s="2"/>
      <c r="B37" s="2"/>
      <c r="C37" s="13">
        <v>0.75</v>
      </c>
      <c r="D37" s="2"/>
      <c r="E37" s="2"/>
      <c r="F37" s="2" t="s">
        <v>2003</v>
      </c>
      <c r="G37" s="2"/>
      <c r="H37" s="2"/>
    </row>
    <row r="39" spans="1:8" s="3" customFormat="1" x14ac:dyDescent="0.2">
      <c r="A39" s="195" t="s">
        <v>2013</v>
      </c>
      <c r="B39" s="195"/>
      <c r="C39" s="195"/>
      <c r="D39" s="195"/>
      <c r="E39" s="195"/>
      <c r="F39" s="195"/>
      <c r="G39" s="195"/>
      <c r="H39" s="195"/>
    </row>
    <row r="40" spans="1:8" x14ac:dyDescent="0.2">
      <c r="A40" s="1" t="s">
        <v>2014</v>
      </c>
    </row>
    <row r="41" spans="1:8" x14ac:dyDescent="0.2">
      <c r="A41" s="1" t="s">
        <v>2015</v>
      </c>
    </row>
    <row r="42" spans="1:8" x14ac:dyDescent="0.2">
      <c r="A42" s="1" t="s">
        <v>2016</v>
      </c>
    </row>
    <row r="43" spans="1:8" x14ac:dyDescent="0.2">
      <c r="A43" s="1" t="s">
        <v>2017</v>
      </c>
    </row>
    <row r="45" spans="1:8" x14ac:dyDescent="0.2">
      <c r="A45" s="3" t="s">
        <v>1505</v>
      </c>
    </row>
    <row r="46" spans="1:8" ht="17" thickBot="1" x14ac:dyDescent="0.25"/>
    <row r="47" spans="1:8" s="96" customFormat="1" x14ac:dyDescent="0.2">
      <c r="A47" s="202" t="s">
        <v>2018</v>
      </c>
      <c r="B47" s="203" t="s">
        <v>2213</v>
      </c>
      <c r="C47" s="203"/>
      <c r="D47" s="203"/>
      <c r="E47" s="203"/>
      <c r="F47" s="203"/>
      <c r="G47" s="203"/>
      <c r="H47" s="204"/>
    </row>
    <row r="48" spans="1:8" s="96" customFormat="1" x14ac:dyDescent="0.2">
      <c r="A48" s="205" t="s">
        <v>2214</v>
      </c>
      <c r="H48" s="206"/>
    </row>
    <row r="49" spans="1:8" x14ac:dyDescent="0.2">
      <c r="A49" s="26" t="s">
        <v>2215</v>
      </c>
      <c r="H49" s="36"/>
    </row>
    <row r="50" spans="1:8" ht="17" thickBot="1" x14ac:dyDescent="0.25">
      <c r="A50" s="28" t="s">
        <v>2216</v>
      </c>
      <c r="B50" s="29"/>
      <c r="C50" s="29"/>
      <c r="D50" s="29"/>
      <c r="E50" s="29"/>
      <c r="F50" s="29"/>
      <c r="G50" s="29"/>
      <c r="H50" s="37"/>
    </row>
    <row r="52" spans="1:8" s="3" customFormat="1" x14ac:dyDescent="0.2">
      <c r="A52" s="195" t="s">
        <v>2020</v>
      </c>
      <c r="B52" s="195"/>
      <c r="C52" s="195"/>
      <c r="D52" s="195"/>
      <c r="E52" s="195"/>
      <c r="F52" s="195"/>
      <c r="G52" s="195"/>
      <c r="H52" s="195"/>
    </row>
    <row r="57" spans="1:8" x14ac:dyDescent="0.2">
      <c r="B57" s="2" t="s">
        <v>2026</v>
      </c>
      <c r="C57" s="2" t="s">
        <v>2027</v>
      </c>
      <c r="D57" s="2" t="s">
        <v>2033</v>
      </c>
      <c r="E57" s="2" t="s">
        <v>2038</v>
      </c>
      <c r="F57" s="2" t="s">
        <v>2042</v>
      </c>
    </row>
    <row r="58" spans="1:8" x14ac:dyDescent="0.2">
      <c r="B58" s="2" t="s">
        <v>2021</v>
      </c>
      <c r="C58" s="2" t="s">
        <v>2028</v>
      </c>
      <c r="D58" s="2" t="s">
        <v>2034</v>
      </c>
      <c r="E58" s="2" t="s">
        <v>2039</v>
      </c>
      <c r="F58" s="2" t="s">
        <v>2045</v>
      </c>
    </row>
    <row r="59" spans="1:8" x14ac:dyDescent="0.2">
      <c r="B59" s="2" t="s">
        <v>2022</v>
      </c>
      <c r="C59" s="2" t="s">
        <v>2029</v>
      </c>
      <c r="D59" s="2" t="s">
        <v>2035</v>
      </c>
      <c r="E59" s="2" t="s">
        <v>2040</v>
      </c>
      <c r="F59" s="2" t="s">
        <v>2043</v>
      </c>
    </row>
    <row r="60" spans="1:8" x14ac:dyDescent="0.2">
      <c r="B60" s="2" t="s">
        <v>2023</v>
      </c>
      <c r="C60" s="2" t="s">
        <v>2030</v>
      </c>
      <c r="D60" s="2" t="s">
        <v>2036</v>
      </c>
      <c r="E60" s="2" t="s">
        <v>2041</v>
      </c>
      <c r="F60" s="2" t="s">
        <v>2044</v>
      </c>
    </row>
    <row r="61" spans="1:8" x14ac:dyDescent="0.2">
      <c r="B61" s="2" t="s">
        <v>2024</v>
      </c>
      <c r="C61" s="2" t="s">
        <v>2031</v>
      </c>
      <c r="D61" s="2" t="s">
        <v>2037</v>
      </c>
      <c r="E61" s="2" t="s">
        <v>2225</v>
      </c>
      <c r="F61" s="2" t="s">
        <v>2228</v>
      </c>
    </row>
    <row r="62" spans="1:8" x14ac:dyDescent="0.2">
      <c r="B62" s="2" t="s">
        <v>2025</v>
      </c>
      <c r="C62" s="2" t="s">
        <v>2032</v>
      </c>
      <c r="D62" s="2" t="s">
        <v>2221</v>
      </c>
      <c r="E62" s="2" t="s">
        <v>2019</v>
      </c>
      <c r="F62" s="2" t="s">
        <v>2229</v>
      </c>
    </row>
    <row r="63" spans="1:8" x14ac:dyDescent="0.2">
      <c r="B63" s="2"/>
      <c r="C63" s="2" t="s">
        <v>2217</v>
      </c>
      <c r="D63" s="2" t="s">
        <v>2033</v>
      </c>
      <c r="E63" s="2" t="s">
        <v>2226</v>
      </c>
      <c r="F63" s="2" t="s">
        <v>2230</v>
      </c>
    </row>
    <row r="64" spans="1:8" x14ac:dyDescent="0.2">
      <c r="B64" s="2"/>
      <c r="C64" s="2" t="s">
        <v>2002</v>
      </c>
      <c r="D64" s="2" t="s">
        <v>2222</v>
      </c>
      <c r="E64" s="2" t="s">
        <v>2227</v>
      </c>
      <c r="F64" s="2"/>
    </row>
    <row r="65" spans="1:8" x14ac:dyDescent="0.2">
      <c r="B65" s="2"/>
      <c r="C65" s="2" t="s">
        <v>2218</v>
      </c>
      <c r="D65" s="2" t="s">
        <v>2223</v>
      </c>
      <c r="E65" s="2"/>
      <c r="F65" s="2"/>
    </row>
    <row r="66" spans="1:8" x14ac:dyDescent="0.2">
      <c r="B66" s="2"/>
      <c r="C66" s="2" t="s">
        <v>2219</v>
      </c>
      <c r="D66" s="2" t="s">
        <v>2224</v>
      </c>
      <c r="E66" s="2"/>
      <c r="F66" s="2"/>
    </row>
    <row r="67" spans="1:8" x14ac:dyDescent="0.2">
      <c r="B67" s="2"/>
      <c r="C67" s="2" t="s">
        <v>2220</v>
      </c>
      <c r="D67" s="2"/>
      <c r="E67" s="2"/>
      <c r="F67" s="2"/>
    </row>
    <row r="69" spans="1:8" x14ac:dyDescent="0.2">
      <c r="A69" s="6" t="s">
        <v>184</v>
      </c>
      <c r="B69" s="6"/>
      <c r="C69" s="6"/>
      <c r="D69" s="6"/>
      <c r="E69" s="6"/>
      <c r="F69" s="6"/>
      <c r="G69" s="6"/>
      <c r="H69" s="6"/>
    </row>
    <row r="70" spans="1:8" x14ac:dyDescent="0.2">
      <c r="A70" s="1" t="s">
        <v>2055</v>
      </c>
    </row>
    <row r="71" spans="1:8" x14ac:dyDescent="0.2">
      <c r="A71" s="1" t="s">
        <v>2046</v>
      </c>
    </row>
    <row r="72" spans="1:8" x14ac:dyDescent="0.2">
      <c r="A72" s="1" t="s">
        <v>2047</v>
      </c>
    </row>
    <row r="73" spans="1:8" x14ac:dyDescent="0.2">
      <c r="A73" s="1" t="s">
        <v>2048</v>
      </c>
    </row>
    <row r="74" spans="1:8" x14ac:dyDescent="0.2">
      <c r="A74" s="1" t="s">
        <v>2049</v>
      </c>
    </row>
    <row r="75" spans="1:8" x14ac:dyDescent="0.2">
      <c r="A75" s="1" t="s">
        <v>2050</v>
      </c>
    </row>
    <row r="76" spans="1:8" x14ac:dyDescent="0.2">
      <c r="A76" s="1" t="s">
        <v>2051</v>
      </c>
    </row>
    <row r="78" spans="1:8" x14ac:dyDescent="0.2">
      <c r="A78" s="1" t="s">
        <v>876</v>
      </c>
    </row>
    <row r="79" spans="1:8" x14ac:dyDescent="0.2">
      <c r="A79" s="1" t="s">
        <v>2052</v>
      </c>
    </row>
    <row r="81" spans="1:8" x14ac:dyDescent="0.2">
      <c r="A81" s="3" t="s">
        <v>1505</v>
      </c>
    </row>
    <row r="83" spans="1:8" x14ac:dyDescent="0.2">
      <c r="A83" s="156" t="s">
        <v>2059</v>
      </c>
      <c r="B83" s="156"/>
      <c r="C83" s="156"/>
      <c r="D83" s="156"/>
      <c r="E83" s="156"/>
      <c r="F83" s="156"/>
      <c r="G83" s="156"/>
      <c r="H83" s="156"/>
    </row>
    <row r="84" spans="1:8" ht="17" thickBot="1" x14ac:dyDescent="0.25"/>
    <row r="85" spans="1:8" s="96" customFormat="1" x14ac:dyDescent="0.2">
      <c r="A85" s="202" t="s">
        <v>2053</v>
      </c>
      <c r="B85" s="203"/>
      <c r="C85" s="203"/>
      <c r="D85" s="203"/>
      <c r="E85" s="203"/>
      <c r="F85" s="203"/>
      <c r="G85" s="203"/>
      <c r="H85" s="204"/>
    </row>
    <row r="86" spans="1:8" s="96" customFormat="1" x14ac:dyDescent="0.2">
      <c r="A86" s="205" t="s">
        <v>2231</v>
      </c>
      <c r="H86" s="206"/>
    </row>
    <row r="87" spans="1:8" s="96" customFormat="1" x14ac:dyDescent="0.2">
      <c r="A87" s="205" t="s">
        <v>2054</v>
      </c>
      <c r="H87" s="206"/>
    </row>
    <row r="88" spans="1:8" s="96" customFormat="1" x14ac:dyDescent="0.2">
      <c r="A88" s="205" t="s">
        <v>2056</v>
      </c>
      <c r="H88" s="206"/>
    </row>
    <row r="89" spans="1:8" s="96" customFormat="1" x14ac:dyDescent="0.2">
      <c r="A89" s="205" t="s">
        <v>2057</v>
      </c>
      <c r="H89" s="206"/>
    </row>
    <row r="90" spans="1:8" s="96" customFormat="1" ht="17" thickBot="1" x14ac:dyDescent="0.25">
      <c r="A90" s="207" t="s">
        <v>2058</v>
      </c>
      <c r="B90" s="208"/>
      <c r="C90" s="208"/>
      <c r="D90" s="208"/>
      <c r="E90" s="208"/>
      <c r="F90" s="208"/>
      <c r="G90" s="208"/>
      <c r="H90" s="209"/>
    </row>
    <row r="92" spans="1:8" x14ac:dyDescent="0.2">
      <c r="A92" s="156" t="s">
        <v>2060</v>
      </c>
    </row>
    <row r="93" spans="1:8" ht="17" thickBot="1" x14ac:dyDescent="0.25"/>
    <row r="94" spans="1:8" s="96" customFormat="1" x14ac:dyDescent="0.2">
      <c r="A94" s="202" t="s">
        <v>2061</v>
      </c>
      <c r="B94" s="203"/>
      <c r="C94" s="203"/>
      <c r="D94" s="203"/>
      <c r="E94" s="203"/>
      <c r="F94" s="203"/>
      <c r="G94" s="203"/>
      <c r="H94" s="204"/>
    </row>
    <row r="95" spans="1:8" s="96" customFormat="1" x14ac:dyDescent="0.2">
      <c r="A95" s="205" t="s">
        <v>2062</v>
      </c>
      <c r="H95" s="206"/>
    </row>
    <row r="96" spans="1:8" s="96" customFormat="1" x14ac:dyDescent="0.2">
      <c r="A96" s="205"/>
      <c r="H96" s="206"/>
    </row>
    <row r="97" spans="1:8" s="96" customFormat="1" x14ac:dyDescent="0.2">
      <c r="A97" s="205" t="s">
        <v>2063</v>
      </c>
      <c r="D97" s="169">
        <v>22000</v>
      </c>
      <c r="H97" s="206"/>
    </row>
    <row r="98" spans="1:8" s="96" customFormat="1" x14ac:dyDescent="0.2">
      <c r="A98" s="205" t="s">
        <v>2064</v>
      </c>
      <c r="D98" s="169">
        <f>D97*1.15</f>
        <v>25299.999999999996</v>
      </c>
      <c r="F98" s="96" t="s">
        <v>2232</v>
      </c>
      <c r="H98" s="206"/>
    </row>
    <row r="99" spans="1:8" s="96" customFormat="1" x14ac:dyDescent="0.2">
      <c r="A99" s="205" t="s">
        <v>2065</v>
      </c>
      <c r="D99" s="169">
        <f>D98*1.15</f>
        <v>29094.999999999993</v>
      </c>
      <c r="F99" s="96" t="s">
        <v>2233</v>
      </c>
      <c r="H99" s="206"/>
    </row>
    <row r="100" spans="1:8" s="96" customFormat="1" x14ac:dyDescent="0.2">
      <c r="A100" s="205" t="s">
        <v>198</v>
      </c>
      <c r="D100" s="210">
        <f>SUM(D97:D99)</f>
        <v>76395</v>
      </c>
      <c r="H100" s="206"/>
    </row>
    <row r="101" spans="1:8" x14ac:dyDescent="0.2">
      <c r="A101" s="26"/>
      <c r="H101" s="36"/>
    </row>
    <row r="102" spans="1:8" ht="17" thickBot="1" x14ac:dyDescent="0.25">
      <c r="A102" s="28" t="s">
        <v>2066</v>
      </c>
      <c r="B102" s="29"/>
      <c r="C102" s="29"/>
      <c r="D102" s="211">
        <f>D100/3</f>
        <v>25465</v>
      </c>
      <c r="E102" s="208"/>
      <c r="F102" s="208" t="s">
        <v>2234</v>
      </c>
      <c r="G102" s="208"/>
      <c r="H102" s="209"/>
    </row>
    <row r="103" spans="1:8" ht="17" thickBot="1" x14ac:dyDescent="0.25">
      <c r="D103" s="212"/>
      <c r="E103" s="96"/>
      <c r="F103" s="96"/>
      <c r="G103" s="96"/>
      <c r="H103" s="96"/>
    </row>
    <row r="104" spans="1:8" x14ac:dyDescent="0.2">
      <c r="A104" s="53" t="s">
        <v>2235</v>
      </c>
      <c r="B104" s="23"/>
      <c r="C104" s="23"/>
      <c r="D104" s="213"/>
      <c r="E104" s="203"/>
      <c r="F104" s="203"/>
      <c r="G104" s="203"/>
      <c r="H104" s="204"/>
    </row>
    <row r="105" spans="1:8" x14ac:dyDescent="0.2">
      <c r="A105" s="26" t="s">
        <v>2236</v>
      </c>
      <c r="D105" s="212"/>
      <c r="E105" s="96"/>
      <c r="F105" s="96"/>
      <c r="G105" s="96"/>
      <c r="H105" s="206"/>
    </row>
    <row r="106" spans="1:8" x14ac:dyDescent="0.2">
      <c r="A106" s="26" t="s">
        <v>2237</v>
      </c>
      <c r="D106" s="212"/>
      <c r="E106" s="96"/>
      <c r="F106" s="96"/>
      <c r="G106" s="96"/>
      <c r="H106" s="206"/>
    </row>
    <row r="107" spans="1:8" ht="17" thickBot="1" x14ac:dyDescent="0.25">
      <c r="A107" s="28" t="s">
        <v>2238</v>
      </c>
      <c r="B107" s="29"/>
      <c r="C107" s="29"/>
      <c r="D107" s="214"/>
      <c r="E107" s="208"/>
      <c r="F107" s="208"/>
      <c r="G107" s="208"/>
      <c r="H107" s="209"/>
    </row>
    <row r="108" spans="1:8" ht="17" thickBot="1" x14ac:dyDescent="0.25">
      <c r="D108" s="212"/>
      <c r="E108" s="96"/>
      <c r="F108" s="96"/>
      <c r="G108" s="96"/>
      <c r="H108" s="96"/>
    </row>
    <row r="109" spans="1:8" x14ac:dyDescent="0.2">
      <c r="A109" s="53" t="s">
        <v>2239</v>
      </c>
      <c r="B109" s="23"/>
      <c r="C109" s="23"/>
      <c r="D109" s="213"/>
      <c r="E109" s="203"/>
      <c r="F109" s="203"/>
      <c r="G109" s="203"/>
      <c r="H109" s="204"/>
    </row>
    <row r="110" spans="1:8" x14ac:dyDescent="0.2">
      <c r="A110" s="26" t="s">
        <v>2240</v>
      </c>
      <c r="D110" s="212"/>
      <c r="E110" s="96"/>
      <c r="F110" s="96"/>
      <c r="G110" s="96"/>
      <c r="H110" s="206"/>
    </row>
    <row r="111" spans="1:8" ht="17" thickBot="1" x14ac:dyDescent="0.25">
      <c r="A111" s="28" t="s">
        <v>2241</v>
      </c>
      <c r="B111" s="29"/>
      <c r="C111" s="29"/>
      <c r="D111" s="214"/>
      <c r="E111" s="208"/>
      <c r="F111" s="208"/>
      <c r="G111" s="208"/>
      <c r="H111" s="209"/>
    </row>
    <row r="112" spans="1:8" x14ac:dyDescent="0.2">
      <c r="D112" s="212"/>
      <c r="E112" s="96"/>
      <c r="F112" s="96"/>
      <c r="G112" s="96"/>
      <c r="H112" s="96"/>
    </row>
    <row r="113" spans="1:8" x14ac:dyDescent="0.2">
      <c r="A113" s="156" t="s">
        <v>2067</v>
      </c>
    </row>
    <row r="114" spans="1:8" ht="17" thickBot="1" x14ac:dyDescent="0.25">
      <c r="A114" s="156"/>
    </row>
    <row r="115" spans="1:8" x14ac:dyDescent="0.2">
      <c r="A115" s="53"/>
      <c r="B115" s="23"/>
      <c r="C115" s="23"/>
      <c r="D115" s="23"/>
      <c r="E115" s="23"/>
      <c r="F115" s="23"/>
      <c r="G115" s="23"/>
      <c r="H115" s="35"/>
    </row>
    <row r="116" spans="1:8" x14ac:dyDescent="0.2">
      <c r="A116" s="26"/>
      <c r="C116" s="50" t="s">
        <v>2242</v>
      </c>
      <c r="D116" s="50" t="s">
        <v>2244</v>
      </c>
      <c r="H116" s="36"/>
    </row>
    <row r="117" spans="1:8" x14ac:dyDescent="0.2">
      <c r="A117" s="26"/>
      <c r="C117" s="50" t="s">
        <v>2243</v>
      </c>
      <c r="D117" s="50" t="s">
        <v>2245</v>
      </c>
      <c r="H117" s="36"/>
    </row>
    <row r="118" spans="1:8" x14ac:dyDescent="0.2">
      <c r="A118" s="26"/>
      <c r="B118" s="50" t="s">
        <v>194</v>
      </c>
      <c r="C118" s="50" t="s">
        <v>2068</v>
      </c>
      <c r="D118" s="50" t="s">
        <v>2069</v>
      </c>
      <c r="E118" s="50" t="s">
        <v>2070</v>
      </c>
      <c r="F118" s="50" t="s">
        <v>2071</v>
      </c>
      <c r="H118" s="36"/>
    </row>
    <row r="119" spans="1:8" x14ac:dyDescent="0.2">
      <c r="A119" s="26"/>
      <c r="B119" s="50">
        <v>2017</v>
      </c>
      <c r="C119" s="215">
        <f>D102</f>
        <v>25465</v>
      </c>
      <c r="D119" s="215">
        <f>D97</f>
        <v>22000</v>
      </c>
      <c r="E119" s="217">
        <f>C119-D119</f>
        <v>3465</v>
      </c>
      <c r="F119" s="216" t="s">
        <v>2072</v>
      </c>
      <c r="H119" s="36"/>
    </row>
    <row r="120" spans="1:8" x14ac:dyDescent="0.2">
      <c r="A120" s="26"/>
      <c r="B120" s="50">
        <v>2018</v>
      </c>
      <c r="C120" s="215">
        <f>C119</f>
        <v>25465</v>
      </c>
      <c r="D120" s="215">
        <f>D98</f>
        <v>25299.999999999996</v>
      </c>
      <c r="E120" s="217">
        <f>E119+C120-D120</f>
        <v>3630.0000000000036</v>
      </c>
      <c r="F120" s="216" t="s">
        <v>2072</v>
      </c>
      <c r="H120" s="36"/>
    </row>
    <row r="121" spans="1:8" x14ac:dyDescent="0.2">
      <c r="A121" s="26"/>
      <c r="B121" s="50">
        <v>2019</v>
      </c>
      <c r="C121" s="215">
        <f>C120</f>
        <v>25465</v>
      </c>
      <c r="D121" s="215">
        <f>D99</f>
        <v>29094.999999999993</v>
      </c>
      <c r="E121" s="217">
        <f>E120+C121-D121</f>
        <v>0</v>
      </c>
      <c r="F121" s="216"/>
      <c r="H121" s="36"/>
    </row>
    <row r="122" spans="1:8" ht="17" thickBot="1" x14ac:dyDescent="0.25">
      <c r="A122" s="28"/>
      <c r="B122" s="29"/>
      <c r="C122" s="29"/>
      <c r="D122" s="29"/>
      <c r="E122" s="29"/>
      <c r="F122" s="29"/>
      <c r="G122" s="29"/>
      <c r="H122" s="37"/>
    </row>
    <row r="124" spans="1:8" x14ac:dyDescent="0.2">
      <c r="A124" s="156" t="s">
        <v>2073</v>
      </c>
    </row>
    <row r="125" spans="1:8" ht="17" thickBot="1" x14ac:dyDescent="0.25">
      <c r="A125" s="156"/>
    </row>
    <row r="126" spans="1:8" x14ac:dyDescent="0.2">
      <c r="A126" s="53" t="s">
        <v>2074</v>
      </c>
      <c r="B126" s="23"/>
      <c r="C126" s="23"/>
      <c r="D126" s="23"/>
      <c r="E126" s="23"/>
      <c r="F126" s="23"/>
      <c r="G126" s="23"/>
      <c r="H126" s="35"/>
    </row>
    <row r="127" spans="1:8" x14ac:dyDescent="0.2">
      <c r="A127" s="26" t="s">
        <v>2075</v>
      </c>
      <c r="H127" s="36"/>
    </row>
    <row r="128" spans="1:8" x14ac:dyDescent="0.2">
      <c r="A128" s="26"/>
      <c r="H128" s="36"/>
    </row>
    <row r="129" spans="1:8" s="96" customFormat="1" x14ac:dyDescent="0.2">
      <c r="A129" s="205"/>
      <c r="B129" s="96" t="s">
        <v>2076</v>
      </c>
      <c r="D129" s="173">
        <f>180000/10</f>
        <v>18000</v>
      </c>
      <c r="F129" s="96" t="s">
        <v>2246</v>
      </c>
      <c r="H129" s="206"/>
    </row>
    <row r="130" spans="1:8" s="96" customFormat="1" x14ac:dyDescent="0.2">
      <c r="A130" s="205"/>
      <c r="B130" s="96" t="s">
        <v>2247</v>
      </c>
      <c r="D130" s="173">
        <f>6000/3</f>
        <v>2000</v>
      </c>
      <c r="F130" s="96" t="s">
        <v>2248</v>
      </c>
      <c r="G130" s="96" t="s">
        <v>2249</v>
      </c>
      <c r="H130" s="206"/>
    </row>
    <row r="131" spans="1:8" ht="17" thickBot="1" x14ac:dyDescent="0.25">
      <c r="A131" s="28"/>
      <c r="B131" s="29" t="s">
        <v>2077</v>
      </c>
      <c r="C131" s="29"/>
      <c r="D131" s="218">
        <f>D129+D130</f>
        <v>20000</v>
      </c>
      <c r="E131" s="29"/>
      <c r="F131" s="29" t="s">
        <v>2250</v>
      </c>
      <c r="G131" s="29"/>
      <c r="H131" s="37"/>
    </row>
    <row r="133" spans="1:8" x14ac:dyDescent="0.2">
      <c r="A133" s="156" t="s">
        <v>2078</v>
      </c>
    </row>
    <row r="134" spans="1:8" ht="17" thickBot="1" x14ac:dyDescent="0.25"/>
    <row r="135" spans="1:8" x14ac:dyDescent="0.2">
      <c r="A135" s="53" t="s">
        <v>1776</v>
      </c>
      <c r="B135" s="23"/>
      <c r="C135" s="23"/>
      <c r="D135" s="198">
        <v>43100</v>
      </c>
      <c r="E135" s="198">
        <v>43465</v>
      </c>
      <c r="F135" s="198">
        <v>43830</v>
      </c>
      <c r="G135" s="23"/>
      <c r="H135" s="35"/>
    </row>
    <row r="136" spans="1:8" x14ac:dyDescent="0.2">
      <c r="A136" s="26" t="s">
        <v>2082</v>
      </c>
      <c r="D136" s="169">
        <f>180000*8/10+6000</f>
        <v>150000</v>
      </c>
      <c r="E136" s="169">
        <f>D136</f>
        <v>150000</v>
      </c>
      <c r="F136" s="169">
        <f>E136</f>
        <v>150000</v>
      </c>
      <c r="H136" s="36"/>
    </row>
    <row r="137" spans="1:8" s="96" customFormat="1" x14ac:dyDescent="0.2">
      <c r="A137" s="205" t="s">
        <v>2079</v>
      </c>
      <c r="D137" s="169">
        <f>-D131</f>
        <v>-20000</v>
      </c>
      <c r="E137" s="169">
        <f>D137-D131</f>
        <v>-40000</v>
      </c>
      <c r="F137" s="169">
        <f>E137-D131</f>
        <v>-60000</v>
      </c>
      <c r="H137" s="206"/>
    </row>
    <row r="138" spans="1:8" s="96" customFormat="1" x14ac:dyDescent="0.2">
      <c r="A138" s="205" t="s">
        <v>2080</v>
      </c>
      <c r="D138" s="210">
        <f>SUM(D136:D137)</f>
        <v>130000</v>
      </c>
      <c r="E138" s="210">
        <f>SUM(E136:E137)</f>
        <v>110000</v>
      </c>
      <c r="F138" s="210">
        <f>SUM(F136:F137)</f>
        <v>90000</v>
      </c>
      <c r="H138" s="206"/>
    </row>
    <row r="139" spans="1:8" x14ac:dyDescent="0.2">
      <c r="A139" s="26"/>
      <c r="D139" s="197"/>
      <c r="E139" s="197"/>
      <c r="F139" s="197"/>
      <c r="H139" s="36"/>
    </row>
    <row r="140" spans="1:8" s="96" customFormat="1" x14ac:dyDescent="0.2">
      <c r="A140" s="205" t="s">
        <v>2081</v>
      </c>
      <c r="D140" s="169">
        <f>E119</f>
        <v>3465</v>
      </c>
      <c r="E140" s="169">
        <f>E120</f>
        <v>3630.0000000000036</v>
      </c>
      <c r="F140" s="169">
        <f>E121</f>
        <v>0</v>
      </c>
      <c r="H140" s="206"/>
    </row>
    <row r="141" spans="1:8" x14ac:dyDescent="0.2">
      <c r="A141" s="26"/>
      <c r="D141" s="93"/>
      <c r="E141" s="93"/>
      <c r="F141" s="93"/>
      <c r="H141" s="36"/>
    </row>
    <row r="142" spans="1:8" x14ac:dyDescent="0.2">
      <c r="A142" s="26" t="s">
        <v>1777</v>
      </c>
      <c r="D142" s="93"/>
      <c r="E142" s="93"/>
      <c r="F142" s="93"/>
      <c r="H142" s="36"/>
    </row>
    <row r="143" spans="1:8" s="96" customFormat="1" x14ac:dyDescent="0.2">
      <c r="A143" s="205" t="s">
        <v>2086</v>
      </c>
      <c r="D143" s="169">
        <f>C119</f>
        <v>25465</v>
      </c>
      <c r="E143" s="169">
        <f>D143</f>
        <v>25465</v>
      </c>
      <c r="F143" s="169">
        <f>E143</f>
        <v>25465</v>
      </c>
      <c r="H143" s="206"/>
    </row>
    <row r="144" spans="1:8" s="96" customFormat="1" x14ac:dyDescent="0.2">
      <c r="A144" s="205" t="s">
        <v>1778</v>
      </c>
      <c r="D144" s="169">
        <f>D131</f>
        <v>20000</v>
      </c>
      <c r="E144" s="169">
        <f>D144</f>
        <v>20000</v>
      </c>
      <c r="F144" s="169">
        <f>E144</f>
        <v>20000</v>
      </c>
      <c r="H144" s="206"/>
    </row>
    <row r="145" spans="1:8" s="96" customFormat="1" x14ac:dyDescent="0.2">
      <c r="A145" s="205"/>
      <c r="H145" s="206"/>
    </row>
    <row r="146" spans="1:8" s="96" customFormat="1" x14ac:dyDescent="0.2">
      <c r="A146" s="205"/>
      <c r="H146" s="206"/>
    </row>
    <row r="147" spans="1:8" s="96" customFormat="1" x14ac:dyDescent="0.2">
      <c r="A147" s="205" t="s">
        <v>2253</v>
      </c>
      <c r="H147" s="206"/>
    </row>
    <row r="148" spans="1:8" s="96" customFormat="1" x14ac:dyDescent="0.2">
      <c r="A148" s="205" t="s">
        <v>2254</v>
      </c>
      <c r="H148" s="206"/>
    </row>
    <row r="149" spans="1:8" s="96" customFormat="1" x14ac:dyDescent="0.2">
      <c r="A149" s="205" t="s">
        <v>2255</v>
      </c>
      <c r="H149" s="206"/>
    </row>
    <row r="150" spans="1:8" s="96" customFormat="1" x14ac:dyDescent="0.2">
      <c r="A150" s="219" t="s">
        <v>275</v>
      </c>
      <c r="B150" s="96" t="s">
        <v>2083</v>
      </c>
      <c r="H150" s="206"/>
    </row>
    <row r="151" spans="1:8" s="96" customFormat="1" x14ac:dyDescent="0.2">
      <c r="A151" s="205"/>
      <c r="B151" s="96" t="s">
        <v>2252</v>
      </c>
      <c r="F151" s="169">
        <f>180000*8/10</f>
        <v>144000</v>
      </c>
      <c r="H151" s="206" t="s">
        <v>2251</v>
      </c>
    </row>
    <row r="152" spans="1:8" s="96" customFormat="1" x14ac:dyDescent="0.2">
      <c r="A152" s="205"/>
      <c r="B152" s="96" t="s">
        <v>2084</v>
      </c>
      <c r="F152" s="169">
        <v>6000</v>
      </c>
      <c r="H152" s="206"/>
    </row>
    <row r="153" spans="1:8" s="96" customFormat="1" ht="17" thickBot="1" x14ac:dyDescent="0.25">
      <c r="A153" s="207"/>
      <c r="B153" s="208" t="s">
        <v>2085</v>
      </c>
      <c r="C153" s="208"/>
      <c r="D153" s="208"/>
      <c r="E153" s="208"/>
      <c r="F153" s="220">
        <f>F151+F152</f>
        <v>150000</v>
      </c>
      <c r="G153" s="208"/>
      <c r="H153" s="209"/>
    </row>
    <row r="155" spans="1:8" s="3" customFormat="1" x14ac:dyDescent="0.2">
      <c r="A155" s="195" t="s">
        <v>2256</v>
      </c>
      <c r="B155" s="195"/>
      <c r="C155" s="195"/>
      <c r="D155" s="195"/>
      <c r="E155" s="195"/>
      <c r="F155" s="195"/>
      <c r="G155" s="195"/>
      <c r="H155" s="195"/>
    </row>
    <row r="156" spans="1:8" x14ac:dyDescent="0.2">
      <c r="A156" s="1" t="s">
        <v>2257</v>
      </c>
    </row>
    <row r="157" spans="1:8" x14ac:dyDescent="0.2">
      <c r="A157" s="1" t="s">
        <v>2258</v>
      </c>
    </row>
    <row r="158" spans="1:8" x14ac:dyDescent="0.2">
      <c r="A158" s="1" t="s">
        <v>2259</v>
      </c>
    </row>
    <row r="160" spans="1:8" s="3" customFormat="1" x14ac:dyDescent="0.2">
      <c r="A160" s="195" t="s">
        <v>2260</v>
      </c>
      <c r="B160" s="195"/>
      <c r="C160" s="195"/>
      <c r="D160" s="195"/>
      <c r="E160" s="195"/>
      <c r="F160" s="195"/>
      <c r="G160" s="195"/>
      <c r="H160" s="195"/>
    </row>
    <row r="165" spans="1:8" x14ac:dyDescent="0.2">
      <c r="C165" s="1" t="s">
        <v>2087</v>
      </c>
      <c r="E165" s="1" t="s">
        <v>2090</v>
      </c>
      <c r="G165" s="1" t="s">
        <v>2094</v>
      </c>
    </row>
    <row r="166" spans="1:8" x14ac:dyDescent="0.2">
      <c r="C166" s="1" t="s">
        <v>2088</v>
      </c>
      <c r="E166" s="1" t="s">
        <v>2091</v>
      </c>
      <c r="G166" s="1" t="s">
        <v>2095</v>
      </c>
    </row>
    <row r="167" spans="1:8" x14ac:dyDescent="0.2">
      <c r="C167" s="1" t="s">
        <v>2089</v>
      </c>
      <c r="E167" s="1" t="s">
        <v>2092</v>
      </c>
      <c r="G167" s="1" t="s">
        <v>2093</v>
      </c>
    </row>
    <row r="168" spans="1:8" x14ac:dyDescent="0.2">
      <c r="E168" s="1" t="s">
        <v>2093</v>
      </c>
    </row>
    <row r="170" spans="1:8" x14ac:dyDescent="0.2">
      <c r="A170" s="3" t="s">
        <v>2185</v>
      </c>
    </row>
    <row r="171" spans="1:8" x14ac:dyDescent="0.2">
      <c r="A171" s="1" t="s">
        <v>2107</v>
      </c>
    </row>
    <row r="172" spans="1:8" x14ac:dyDescent="0.2">
      <c r="A172" s="1" t="s">
        <v>2108</v>
      </c>
      <c r="G172" s="1" t="s">
        <v>2096</v>
      </c>
    </row>
    <row r="173" spans="1:8" x14ac:dyDescent="0.2">
      <c r="A173" s="1" t="s">
        <v>2109</v>
      </c>
      <c r="G173" s="1" t="s">
        <v>2097</v>
      </c>
    </row>
    <row r="175" spans="1:8" s="3" customFormat="1" x14ac:dyDescent="0.2">
      <c r="A175" s="195" t="s">
        <v>2098</v>
      </c>
      <c r="B175" s="195"/>
      <c r="C175" s="195"/>
      <c r="D175" s="195"/>
      <c r="E175" s="195"/>
      <c r="F175" s="195"/>
      <c r="G175" s="195"/>
      <c r="H175" s="195"/>
    </row>
    <row r="180" spans="1:8" x14ac:dyDescent="0.2">
      <c r="B180" s="1" t="s">
        <v>2099</v>
      </c>
      <c r="E180" s="1" t="s">
        <v>2104</v>
      </c>
    </row>
    <row r="181" spans="1:8" x14ac:dyDescent="0.2">
      <c r="B181" s="1" t="s">
        <v>2100</v>
      </c>
      <c r="E181" s="1" t="s">
        <v>2105</v>
      </c>
    </row>
    <row r="182" spans="1:8" x14ac:dyDescent="0.2">
      <c r="B182" s="1" t="s">
        <v>2101</v>
      </c>
      <c r="E182" s="1" t="s">
        <v>2106</v>
      </c>
    </row>
    <row r="183" spans="1:8" x14ac:dyDescent="0.2">
      <c r="B183" s="1" t="s">
        <v>2102</v>
      </c>
    </row>
    <row r="184" spans="1:8" x14ac:dyDescent="0.2">
      <c r="B184" s="1" t="s">
        <v>2103</v>
      </c>
    </row>
    <row r="186" spans="1:8" s="3" customFormat="1" x14ac:dyDescent="0.2">
      <c r="A186" s="195" t="s">
        <v>2110</v>
      </c>
      <c r="B186" s="195"/>
      <c r="C186" s="195"/>
      <c r="D186" s="195"/>
      <c r="E186" s="195"/>
      <c r="F186" s="195"/>
      <c r="G186" s="195"/>
      <c r="H186" s="195"/>
    </row>
    <row r="191" spans="1:8" x14ac:dyDescent="0.2">
      <c r="B191" s="1" t="s">
        <v>2111</v>
      </c>
      <c r="D191" s="1" t="s">
        <v>2112</v>
      </c>
      <c r="F191" s="1" t="s">
        <v>2113</v>
      </c>
    </row>
    <row r="193" spans="1:8" x14ac:dyDescent="0.2">
      <c r="A193" s="6" t="s">
        <v>201</v>
      </c>
      <c r="B193" s="6"/>
      <c r="C193" s="6"/>
      <c r="D193" s="6"/>
      <c r="E193" s="6"/>
      <c r="F193" s="6"/>
      <c r="G193" s="6"/>
      <c r="H193" s="6"/>
    </row>
    <row r="194" spans="1:8" x14ac:dyDescent="0.2">
      <c r="A194" s="1" t="s">
        <v>2262</v>
      </c>
    </row>
    <row r="195" spans="1:8" x14ac:dyDescent="0.2">
      <c r="A195" s="1" t="s">
        <v>2115</v>
      </c>
    </row>
    <row r="196" spans="1:8" x14ac:dyDescent="0.2">
      <c r="A196" s="1" t="s">
        <v>2116</v>
      </c>
    </row>
    <row r="197" spans="1:8" x14ac:dyDescent="0.2">
      <c r="A197" s="1" t="s">
        <v>2117</v>
      </c>
    </row>
    <row r="198" spans="1:8" x14ac:dyDescent="0.2">
      <c r="A198" s="1" t="s">
        <v>2263</v>
      </c>
    </row>
    <row r="200" spans="1:8" x14ac:dyDescent="0.2">
      <c r="A200" s="1" t="s">
        <v>2118</v>
      </c>
    </row>
    <row r="201" spans="1:8" x14ac:dyDescent="0.2">
      <c r="A201" s="1" t="s">
        <v>2261</v>
      </c>
    </row>
    <row r="202" spans="1:8" x14ac:dyDescent="0.2">
      <c r="A202" s="1" t="s">
        <v>2122</v>
      </c>
    </row>
    <row r="203" spans="1:8" x14ac:dyDescent="0.2">
      <c r="A203" s="1" t="s">
        <v>2119</v>
      </c>
    </row>
    <row r="204" spans="1:8" x14ac:dyDescent="0.2">
      <c r="A204" s="1" t="s">
        <v>2120</v>
      </c>
    </row>
    <row r="205" spans="1:8" x14ac:dyDescent="0.2">
      <c r="A205" s="1" t="s">
        <v>2163</v>
      </c>
    </row>
    <row r="207" spans="1:8" x14ac:dyDescent="0.2">
      <c r="A207" s="3" t="s">
        <v>1505</v>
      </c>
    </row>
    <row r="208" spans="1:8" ht="17" thickBot="1" x14ac:dyDescent="0.25"/>
    <row r="209" spans="1:8" ht="17" thickBot="1" x14ac:dyDescent="0.25">
      <c r="A209" s="57" t="s">
        <v>2121</v>
      </c>
      <c r="B209" s="67"/>
      <c r="C209" s="67"/>
      <c r="D209" s="67"/>
      <c r="E209" s="67"/>
      <c r="F209" s="67"/>
      <c r="G209" s="67"/>
      <c r="H209" s="132"/>
    </row>
    <row r="210" spans="1:8" x14ac:dyDescent="0.2">
      <c r="A210" s="1" t="s">
        <v>2123</v>
      </c>
    </row>
    <row r="211" spans="1:8" x14ac:dyDescent="0.2">
      <c r="A211" s="1" t="s">
        <v>2124</v>
      </c>
    </row>
    <row r="212" spans="1:8" x14ac:dyDescent="0.2">
      <c r="A212" s="1" t="s">
        <v>2125</v>
      </c>
    </row>
    <row r="214" spans="1:8" x14ac:dyDescent="0.2">
      <c r="A214" s="1" t="s">
        <v>2126</v>
      </c>
    </row>
    <row r="215" spans="1:8" x14ac:dyDescent="0.2">
      <c r="A215" s="1" t="s">
        <v>2127</v>
      </c>
    </row>
    <row r="216" spans="1:8" x14ac:dyDescent="0.2">
      <c r="A216" s="1" t="s">
        <v>2128</v>
      </c>
    </row>
    <row r="218" spans="1:8" x14ac:dyDescent="0.2">
      <c r="A218" s="156" t="s">
        <v>2132</v>
      </c>
    </row>
    <row r="219" spans="1:8" x14ac:dyDescent="0.2">
      <c r="A219" s="156"/>
    </row>
    <row r="220" spans="1:8" x14ac:dyDescent="0.2">
      <c r="A220" s="156"/>
      <c r="E220" s="165" t="s">
        <v>2267</v>
      </c>
    </row>
    <row r="221" spans="1:8" x14ac:dyDescent="0.2">
      <c r="B221" s="15">
        <v>43830</v>
      </c>
      <c r="C221" s="15">
        <v>43465</v>
      </c>
      <c r="D221" s="15">
        <v>43100</v>
      </c>
      <c r="E221" s="15">
        <v>42736</v>
      </c>
    </row>
    <row r="222" spans="1:8" x14ac:dyDescent="0.2">
      <c r="B222" s="223">
        <f>C222</f>
        <v>0.1105869493323971</v>
      </c>
      <c r="C222" s="223">
        <f>D222</f>
        <v>0.1105869493323971</v>
      </c>
      <c r="D222" s="223">
        <f>E222</f>
        <v>0.1105869493323971</v>
      </c>
      <c r="E222" s="167">
        <f>RATE(E223,E224,E225,E226)</f>
        <v>0.1105869493323971</v>
      </c>
      <c r="F222" s="1" t="s">
        <v>1267</v>
      </c>
    </row>
    <row r="223" spans="1:8" x14ac:dyDescent="0.2">
      <c r="B223" s="165">
        <v>0</v>
      </c>
      <c r="C223" s="165">
        <v>1</v>
      </c>
      <c r="D223" s="165">
        <f>2</f>
        <v>2</v>
      </c>
      <c r="E223" s="165">
        <v>3</v>
      </c>
      <c r="F223" s="1" t="s">
        <v>1268</v>
      </c>
    </row>
    <row r="224" spans="1:8" x14ac:dyDescent="0.2">
      <c r="B224" s="173">
        <f>C224</f>
        <v>45000</v>
      </c>
      <c r="C224" s="173">
        <f>D224</f>
        <v>45000</v>
      </c>
      <c r="D224" s="173">
        <f>E224</f>
        <v>45000</v>
      </c>
      <c r="E224" s="173">
        <v>45000</v>
      </c>
      <c r="F224" s="1" t="s">
        <v>1269</v>
      </c>
    </row>
    <row r="225" spans="1:6" x14ac:dyDescent="0.2">
      <c r="B225" s="174">
        <f t="shared" ref="B225:C225" si="0">PV(B222,B223,B224,B226)</f>
        <v>0</v>
      </c>
      <c r="C225" s="174">
        <f t="shared" si="0"/>
        <v>-40519.114714116462</v>
      </c>
      <c r="D225" s="174">
        <f>PV(D222,D223,D224,D226)</f>
        <v>-77003.529318910412</v>
      </c>
      <c r="E225" s="221">
        <f>-105000-4855</f>
        <v>-109855</v>
      </c>
      <c r="F225" s="1" t="s">
        <v>1726</v>
      </c>
    </row>
    <row r="226" spans="1:6" x14ac:dyDescent="0.2">
      <c r="B226" s="165">
        <v>0</v>
      </c>
      <c r="C226" s="165">
        <v>0</v>
      </c>
      <c r="D226" s="165">
        <v>0</v>
      </c>
      <c r="E226" s="165">
        <v>0</v>
      </c>
      <c r="F226" s="1" t="s">
        <v>1727</v>
      </c>
    </row>
    <row r="227" spans="1:6" x14ac:dyDescent="0.2">
      <c r="B227" s="197"/>
      <c r="C227" s="197"/>
      <c r="D227" s="197"/>
      <c r="E227" s="165"/>
    </row>
    <row r="228" spans="1:6" x14ac:dyDescent="0.2">
      <c r="A228" s="1" t="s">
        <v>2264</v>
      </c>
    </row>
    <row r="229" spans="1:6" x14ac:dyDescent="0.2">
      <c r="B229" s="1" t="s">
        <v>2265</v>
      </c>
      <c r="F229" s="14">
        <v>105000</v>
      </c>
    </row>
    <row r="230" spans="1:6" x14ac:dyDescent="0.2">
      <c r="B230" s="1" t="s">
        <v>2266</v>
      </c>
      <c r="F230" s="14">
        <v>4855</v>
      </c>
    </row>
    <row r="231" spans="1:6" x14ac:dyDescent="0.2">
      <c r="B231" s="1" t="s">
        <v>198</v>
      </c>
      <c r="F231" s="222">
        <f>F229+F230</f>
        <v>109855</v>
      </c>
    </row>
    <row r="233" spans="1:6" x14ac:dyDescent="0.2">
      <c r="A233" s="156" t="s">
        <v>2268</v>
      </c>
    </row>
    <row r="234" spans="1:6" x14ac:dyDescent="0.2">
      <c r="A234" s="156"/>
      <c r="C234" s="7"/>
      <c r="D234" s="15">
        <v>43465</v>
      </c>
      <c r="E234" s="15">
        <v>43100</v>
      </c>
    </row>
    <row r="235" spans="1:6" x14ac:dyDescent="0.2">
      <c r="D235" s="223">
        <f>D222</f>
        <v>0.1105869493323971</v>
      </c>
      <c r="E235" s="223">
        <f>E222</f>
        <v>0.1105869493323971</v>
      </c>
      <c r="F235" s="1" t="s">
        <v>1267</v>
      </c>
    </row>
    <row r="236" spans="1:6" x14ac:dyDescent="0.2">
      <c r="A236" s="1" t="s">
        <v>2270</v>
      </c>
      <c r="D236" s="165">
        <v>3</v>
      </c>
      <c r="E236" s="165">
        <v>2</v>
      </c>
      <c r="F236" s="1" t="s">
        <v>1821</v>
      </c>
    </row>
    <row r="237" spans="1:6" x14ac:dyDescent="0.2">
      <c r="A237" s="1" t="s">
        <v>2269</v>
      </c>
      <c r="D237" s="165">
        <v>3</v>
      </c>
      <c r="E237" s="165">
        <v>3</v>
      </c>
      <c r="F237" s="1" t="s">
        <v>1268</v>
      </c>
    </row>
    <row r="238" spans="1:6" x14ac:dyDescent="0.2">
      <c r="A238" s="1" t="s">
        <v>2276</v>
      </c>
      <c r="D238" s="173">
        <f>E238</f>
        <v>-109855</v>
      </c>
      <c r="E238" s="173">
        <f>E225</f>
        <v>-109855</v>
      </c>
      <c r="F238" s="1" t="s">
        <v>1726</v>
      </c>
    </row>
    <row r="239" spans="1:6" x14ac:dyDescent="0.2">
      <c r="D239" s="165">
        <v>0</v>
      </c>
      <c r="E239" s="165">
        <v>0</v>
      </c>
      <c r="F239" s="1" t="s">
        <v>1727</v>
      </c>
    </row>
    <row r="240" spans="1:6" s="96" customFormat="1" x14ac:dyDescent="0.2">
      <c r="D240" s="174">
        <f>PPMT(D235,D236,D237,D238)</f>
        <v>40519.114714116477</v>
      </c>
      <c r="E240" s="174">
        <f>PPMT(E235,E236,E237,E238)</f>
        <v>36484.414604793958</v>
      </c>
      <c r="F240" s="96" t="s">
        <v>2136</v>
      </c>
    </row>
    <row r="242" spans="1:6" x14ac:dyDescent="0.2">
      <c r="A242" s="1" t="s">
        <v>2271</v>
      </c>
    </row>
    <row r="243" spans="1:6" x14ac:dyDescent="0.2">
      <c r="A243" s="1" t="s">
        <v>2272</v>
      </c>
    </row>
    <row r="244" spans="1:6" x14ac:dyDescent="0.2">
      <c r="A244" s="1" t="s">
        <v>2273</v>
      </c>
    </row>
    <row r="245" spans="1:6" x14ac:dyDescent="0.2">
      <c r="A245" s="1" t="s">
        <v>2274</v>
      </c>
    </row>
    <row r="246" spans="1:6" x14ac:dyDescent="0.2">
      <c r="A246" s="1" t="s">
        <v>2275</v>
      </c>
    </row>
    <row r="248" spans="1:6" x14ac:dyDescent="0.2">
      <c r="A248" s="156" t="s">
        <v>2129</v>
      </c>
    </row>
    <row r="250" spans="1:6" x14ac:dyDescent="0.2">
      <c r="B250" s="16" t="s">
        <v>120</v>
      </c>
      <c r="C250" s="16" t="s">
        <v>490</v>
      </c>
      <c r="D250" s="16"/>
      <c r="E250" s="9" t="s">
        <v>2130</v>
      </c>
    </row>
    <row r="251" spans="1:6" s="96" customFormat="1" x14ac:dyDescent="0.2">
      <c r="B251" s="193">
        <v>42736</v>
      </c>
      <c r="C251" s="96" t="s">
        <v>2131</v>
      </c>
      <c r="E251" s="169">
        <f>-E225</f>
        <v>109855</v>
      </c>
      <c r="F251" s="96" t="s">
        <v>2277</v>
      </c>
    </row>
    <row r="252" spans="1:6" x14ac:dyDescent="0.2">
      <c r="B252" s="1">
        <v>2017</v>
      </c>
      <c r="C252" s="1" t="s">
        <v>2133</v>
      </c>
      <c r="E252" s="169">
        <f>-E224</f>
        <v>-45000</v>
      </c>
    </row>
    <row r="253" spans="1:6" x14ac:dyDescent="0.2">
      <c r="B253" s="1">
        <v>2017</v>
      </c>
      <c r="C253" s="1" t="s">
        <v>2134</v>
      </c>
      <c r="E253" s="171">
        <f>E254-E252-E251</f>
        <v>12148.529318910412</v>
      </c>
    </row>
    <row r="254" spans="1:6" s="96" customFormat="1" x14ac:dyDescent="0.2">
      <c r="B254" s="193">
        <v>43100</v>
      </c>
      <c r="C254" s="96" t="s">
        <v>2131</v>
      </c>
      <c r="E254" s="210">
        <f>-D225</f>
        <v>77003.529318910412</v>
      </c>
      <c r="F254" s="96" t="s">
        <v>2278</v>
      </c>
    </row>
    <row r="255" spans="1:6" s="96" customFormat="1" x14ac:dyDescent="0.2">
      <c r="B255" s="96">
        <v>2018</v>
      </c>
      <c r="C255" s="96" t="s">
        <v>2133</v>
      </c>
      <c r="E255" s="169">
        <v>-45000</v>
      </c>
    </row>
    <row r="256" spans="1:6" x14ac:dyDescent="0.2">
      <c r="B256" s="1">
        <v>2018</v>
      </c>
      <c r="C256" s="1" t="s">
        <v>2134</v>
      </c>
      <c r="E256" s="171">
        <f>E257-E255-E254</f>
        <v>8515.585395206057</v>
      </c>
    </row>
    <row r="257" spans="1:8" s="96" customFormat="1" x14ac:dyDescent="0.2">
      <c r="B257" s="193">
        <v>43465</v>
      </c>
      <c r="C257" s="96" t="s">
        <v>2131</v>
      </c>
      <c r="E257" s="210">
        <f>-C225</f>
        <v>40519.114714116462</v>
      </c>
      <c r="F257" s="96" t="s">
        <v>2278</v>
      </c>
    </row>
    <row r="258" spans="1:8" s="96" customFormat="1" x14ac:dyDescent="0.2">
      <c r="B258" s="96">
        <v>2019</v>
      </c>
      <c r="C258" s="96" t="s">
        <v>2133</v>
      </c>
      <c r="E258" s="169">
        <v>-45000</v>
      </c>
    </row>
    <row r="259" spans="1:8" x14ac:dyDescent="0.2">
      <c r="B259" s="1">
        <v>2019</v>
      </c>
      <c r="C259" s="1" t="s">
        <v>2134</v>
      </c>
      <c r="E259" s="171">
        <f>E260-E258-E257</f>
        <v>4480.885285883538</v>
      </c>
    </row>
    <row r="260" spans="1:8" s="96" customFormat="1" x14ac:dyDescent="0.2">
      <c r="B260" s="193">
        <v>43830</v>
      </c>
      <c r="C260" s="96" t="s">
        <v>2131</v>
      </c>
      <c r="E260" s="210">
        <f>-B225</f>
        <v>0</v>
      </c>
      <c r="F260" s="96" t="s">
        <v>2278</v>
      </c>
    </row>
    <row r="262" spans="1:8" x14ac:dyDescent="0.2">
      <c r="A262" s="156" t="s">
        <v>2137</v>
      </c>
    </row>
    <row r="264" spans="1:8" x14ac:dyDescent="0.2">
      <c r="A264" s="16" t="s">
        <v>1776</v>
      </c>
      <c r="B264" s="16"/>
      <c r="C264" s="16"/>
      <c r="D264" s="15">
        <v>43100</v>
      </c>
      <c r="E264" s="15">
        <v>43465</v>
      </c>
      <c r="F264" s="15">
        <v>43830</v>
      </c>
    </row>
    <row r="265" spans="1:8" x14ac:dyDescent="0.2">
      <c r="A265" s="1" t="s">
        <v>2138</v>
      </c>
      <c r="D265" s="169">
        <f>E240</f>
        <v>36484.414604793958</v>
      </c>
      <c r="E265" s="169">
        <f>D240</f>
        <v>40519.114714116477</v>
      </c>
      <c r="F265" s="169">
        <v>0</v>
      </c>
    </row>
    <row r="266" spans="1:8" x14ac:dyDescent="0.2">
      <c r="A266" s="1" t="s">
        <v>2139</v>
      </c>
      <c r="D266" s="169">
        <f>E254-E240</f>
        <v>40519.114714116455</v>
      </c>
      <c r="E266" s="169">
        <f>E257-D240</f>
        <v>0</v>
      </c>
      <c r="F266" s="169">
        <v>0</v>
      </c>
      <c r="G266" s="1" t="s">
        <v>2279</v>
      </c>
    </row>
    <row r="267" spans="1:8" x14ac:dyDescent="0.2">
      <c r="D267" s="197"/>
      <c r="E267" s="197"/>
      <c r="F267" s="197"/>
    </row>
    <row r="268" spans="1:8" x14ac:dyDescent="0.2">
      <c r="A268" s="1" t="s">
        <v>2141</v>
      </c>
      <c r="D268" s="197"/>
      <c r="E268" s="197"/>
      <c r="F268" s="197"/>
    </row>
    <row r="269" spans="1:8" s="96" customFormat="1" x14ac:dyDescent="0.2">
      <c r="A269" s="96" t="s">
        <v>2140</v>
      </c>
      <c r="D269" s="169">
        <f>E253</f>
        <v>12148.529318910412</v>
      </c>
      <c r="E269" s="169">
        <f>E256</f>
        <v>8515.585395206057</v>
      </c>
      <c r="F269" s="169">
        <f>E259</f>
        <v>4480.885285883538</v>
      </c>
    </row>
    <row r="270" spans="1:8" ht="17" thickBot="1" x14ac:dyDescent="0.25">
      <c r="F270" s="196"/>
      <c r="G270" s="196"/>
      <c r="H270" s="196"/>
    </row>
    <row r="271" spans="1:8" ht="17" thickBot="1" x14ac:dyDescent="0.25">
      <c r="A271" s="57" t="s">
        <v>2122</v>
      </c>
      <c r="B271" s="67"/>
      <c r="C271" s="67"/>
      <c r="D271" s="67"/>
      <c r="E271" s="67"/>
      <c r="F271" s="67"/>
      <c r="G271" s="67"/>
      <c r="H271" s="132"/>
    </row>
    <row r="272" spans="1:8" x14ac:dyDescent="0.2">
      <c r="A272" s="1" t="s">
        <v>2281</v>
      </c>
      <c r="F272" s="196"/>
      <c r="G272" s="196"/>
      <c r="H272" s="196"/>
    </row>
    <row r="273" spans="1:8" x14ac:dyDescent="0.2">
      <c r="A273" s="1" t="s">
        <v>2280</v>
      </c>
      <c r="F273" s="196"/>
      <c r="G273" s="196"/>
      <c r="H273" s="196"/>
    </row>
    <row r="274" spans="1:8" x14ac:dyDescent="0.2">
      <c r="A274" s="1" t="s">
        <v>2142</v>
      </c>
      <c r="F274" s="196"/>
      <c r="G274" s="196"/>
      <c r="H274" s="196"/>
    </row>
    <row r="275" spans="1:8" x14ac:dyDescent="0.2">
      <c r="F275" s="196"/>
      <c r="G275" s="196"/>
      <c r="H275" s="196"/>
    </row>
    <row r="276" spans="1:8" x14ac:dyDescent="0.2">
      <c r="B276" s="1" t="s">
        <v>2143</v>
      </c>
      <c r="F276" s="196"/>
      <c r="G276" s="196"/>
      <c r="H276" s="196"/>
    </row>
    <row r="277" spans="1:8" x14ac:dyDescent="0.2">
      <c r="C277" s="96" t="s">
        <v>121</v>
      </c>
      <c r="D277" s="96"/>
      <c r="E277" s="80">
        <f>105000</f>
        <v>105000</v>
      </c>
      <c r="F277" s="224" t="s">
        <v>2282</v>
      </c>
      <c r="G277" s="196"/>
      <c r="H277" s="196"/>
    </row>
    <row r="278" spans="1:8" x14ac:dyDescent="0.2">
      <c r="C278" s="96" t="s">
        <v>2144</v>
      </c>
      <c r="D278" s="96"/>
      <c r="E278" s="80">
        <v>4855</v>
      </c>
      <c r="F278" s="169" t="s">
        <v>2282</v>
      </c>
      <c r="G278" s="196"/>
      <c r="H278" s="196"/>
    </row>
    <row r="279" spans="1:8" x14ac:dyDescent="0.2">
      <c r="C279" s="1" t="s">
        <v>2145</v>
      </c>
      <c r="E279" s="81">
        <f>E277+E278</f>
        <v>109855</v>
      </c>
      <c r="F279" s="196"/>
      <c r="G279" s="196"/>
      <c r="H279" s="196"/>
    </row>
    <row r="280" spans="1:8" x14ac:dyDescent="0.2">
      <c r="E280" s="10"/>
      <c r="F280" s="196"/>
      <c r="G280" s="196"/>
      <c r="H280" s="196"/>
    </row>
    <row r="281" spans="1:8" x14ac:dyDescent="0.2">
      <c r="B281" s="1" t="s">
        <v>2146</v>
      </c>
      <c r="E281" s="10"/>
      <c r="F281" s="196"/>
      <c r="G281" s="196"/>
      <c r="H281" s="196"/>
    </row>
    <row r="282" spans="1:8" x14ac:dyDescent="0.2">
      <c r="C282" s="96" t="s">
        <v>2147</v>
      </c>
      <c r="D282" s="96"/>
      <c r="E282" s="80">
        <v>90000</v>
      </c>
      <c r="F282" s="196"/>
      <c r="G282" s="196"/>
      <c r="H282" s="196"/>
    </row>
    <row r="283" spans="1:8" x14ac:dyDescent="0.2">
      <c r="C283" s="96" t="s">
        <v>2148</v>
      </c>
      <c r="D283" s="96"/>
      <c r="E283" s="80">
        <v>4855</v>
      </c>
      <c r="F283" s="196"/>
      <c r="G283" s="196"/>
      <c r="H283" s="196"/>
    </row>
    <row r="284" spans="1:8" x14ac:dyDescent="0.2">
      <c r="C284" s="96" t="s">
        <v>2149</v>
      </c>
      <c r="D284" s="96"/>
      <c r="E284" s="81">
        <f>E282+E283</f>
        <v>94855</v>
      </c>
      <c r="F284" s="224" t="s">
        <v>2283</v>
      </c>
      <c r="G284" s="196"/>
      <c r="H284" s="196"/>
    </row>
    <row r="285" spans="1:8" x14ac:dyDescent="0.2">
      <c r="E285" s="10"/>
      <c r="F285" s="196"/>
      <c r="G285" s="196"/>
      <c r="H285" s="196"/>
    </row>
    <row r="286" spans="1:8" x14ac:dyDescent="0.2">
      <c r="C286" s="1" t="s">
        <v>1396</v>
      </c>
      <c r="E286" s="81">
        <f>E279-E284</f>
        <v>15000</v>
      </c>
      <c r="F286" s="224"/>
      <c r="G286" s="169" t="s">
        <v>2150</v>
      </c>
      <c r="H286" s="169"/>
    </row>
    <row r="287" spans="1:8" x14ac:dyDescent="0.2">
      <c r="F287" s="196"/>
      <c r="G287" s="196"/>
      <c r="H287" s="196"/>
    </row>
    <row r="288" spans="1:8" x14ac:dyDescent="0.2">
      <c r="A288" s="1" t="s">
        <v>2151</v>
      </c>
      <c r="F288" s="196"/>
      <c r="G288" s="196"/>
      <c r="H288" s="196"/>
    </row>
    <row r="289" spans="1:8" x14ac:dyDescent="0.2">
      <c r="F289" s="196"/>
      <c r="G289" s="196"/>
      <c r="H289" s="196"/>
    </row>
    <row r="290" spans="1:8" x14ac:dyDescent="0.2">
      <c r="A290" s="192" t="s">
        <v>2284</v>
      </c>
      <c r="F290" s="196"/>
      <c r="G290" s="196"/>
      <c r="H290" s="196"/>
    </row>
    <row r="291" spans="1:8" x14ac:dyDescent="0.2">
      <c r="A291" s="192" t="s">
        <v>2285</v>
      </c>
      <c r="F291" s="196"/>
      <c r="G291" s="196"/>
      <c r="H291" s="196"/>
    </row>
    <row r="292" spans="1:8" x14ac:dyDescent="0.2">
      <c r="A292" s="192" t="s">
        <v>2286</v>
      </c>
      <c r="F292" s="196"/>
      <c r="G292" s="196"/>
      <c r="H292" s="196"/>
    </row>
    <row r="293" spans="1:8" ht="17" thickBot="1" x14ac:dyDescent="0.25">
      <c r="F293" s="196"/>
      <c r="G293" s="196"/>
      <c r="H293" s="196"/>
    </row>
    <row r="294" spans="1:8" ht="17" thickBot="1" x14ac:dyDescent="0.25">
      <c r="A294" s="57" t="s">
        <v>2119</v>
      </c>
      <c r="B294" s="58"/>
      <c r="C294" s="58"/>
      <c r="D294" s="58"/>
      <c r="E294" s="58"/>
      <c r="F294" s="199"/>
      <c r="G294" s="199"/>
      <c r="H294" s="200"/>
    </row>
    <row r="295" spans="1:8" x14ac:dyDescent="0.2">
      <c r="A295" s="1" t="s">
        <v>2287</v>
      </c>
      <c r="F295" s="196"/>
      <c r="G295" s="196"/>
      <c r="H295" s="196"/>
    </row>
    <row r="296" spans="1:8" x14ac:dyDescent="0.2">
      <c r="A296" s="1" t="s">
        <v>2152</v>
      </c>
      <c r="F296" s="196"/>
      <c r="G296" s="196"/>
      <c r="H296" s="196"/>
    </row>
    <row r="297" spans="1:8" x14ac:dyDescent="0.2">
      <c r="F297" s="196"/>
      <c r="G297" s="196"/>
      <c r="H297" s="196"/>
    </row>
    <row r="298" spans="1:8" x14ac:dyDescent="0.2">
      <c r="A298" s="1" t="s">
        <v>2288</v>
      </c>
      <c r="F298" s="196"/>
      <c r="G298" s="196"/>
      <c r="H298" s="196"/>
    </row>
    <row r="299" spans="1:8" x14ac:dyDescent="0.2">
      <c r="A299" s="1" t="s">
        <v>2289</v>
      </c>
      <c r="F299" s="196"/>
      <c r="G299" s="196"/>
      <c r="H299" s="196"/>
    </row>
    <row r="300" spans="1:8" x14ac:dyDescent="0.2">
      <c r="F300" s="196"/>
      <c r="G300" s="196"/>
      <c r="H300" s="196"/>
    </row>
    <row r="301" spans="1:8" x14ac:dyDescent="0.2">
      <c r="A301" s="1" t="s">
        <v>2153</v>
      </c>
      <c r="F301" s="196"/>
      <c r="G301" s="196"/>
      <c r="H301" s="196"/>
    </row>
    <row r="302" spans="1:8" x14ac:dyDescent="0.2">
      <c r="A302" s="1" t="s">
        <v>2154</v>
      </c>
      <c r="F302" s="196"/>
      <c r="G302" s="196"/>
      <c r="H302" s="196"/>
    </row>
    <row r="303" spans="1:8" x14ac:dyDescent="0.2">
      <c r="A303" s="1" t="s">
        <v>2155</v>
      </c>
      <c r="F303" s="196"/>
      <c r="G303" s="196"/>
      <c r="H303" s="196"/>
    </row>
    <row r="304" spans="1:8" x14ac:dyDescent="0.2">
      <c r="F304" s="196"/>
      <c r="G304" s="196"/>
      <c r="H304" s="196"/>
    </row>
    <row r="305" spans="1:8" x14ac:dyDescent="0.2">
      <c r="A305" s="156" t="s">
        <v>2156</v>
      </c>
      <c r="F305" s="196"/>
      <c r="G305" s="196"/>
      <c r="H305" s="196"/>
    </row>
    <row r="306" spans="1:8" x14ac:dyDescent="0.2">
      <c r="F306" s="196"/>
      <c r="G306" s="196"/>
      <c r="H306" s="196"/>
    </row>
    <row r="307" spans="1:8" x14ac:dyDescent="0.2">
      <c r="B307" s="39">
        <v>43830</v>
      </c>
      <c r="C307" s="39">
        <v>43465</v>
      </c>
      <c r="D307" s="15">
        <v>43100</v>
      </c>
      <c r="E307" s="39">
        <v>42736</v>
      </c>
      <c r="G307" s="196"/>
      <c r="H307" s="196"/>
    </row>
    <row r="308" spans="1:8" x14ac:dyDescent="0.2">
      <c r="B308" s="168">
        <f>C308</f>
        <v>0.13700914959534755</v>
      </c>
      <c r="C308" s="168">
        <f>D308</f>
        <v>0.13700914959534755</v>
      </c>
      <c r="D308" s="168">
        <f>E308</f>
        <v>0.13700914959534755</v>
      </c>
      <c r="E308" s="166">
        <f>RATE(E309,E310,E311,E312)</f>
        <v>0.13700914959534755</v>
      </c>
      <c r="F308" s="1" t="s">
        <v>1267</v>
      </c>
      <c r="G308" s="196"/>
      <c r="H308" s="196"/>
    </row>
    <row r="309" spans="1:8" x14ac:dyDescent="0.2">
      <c r="B309" s="165">
        <v>0</v>
      </c>
      <c r="C309" s="165">
        <v>1</v>
      </c>
      <c r="D309" s="165">
        <f>2</f>
        <v>2</v>
      </c>
      <c r="E309" s="165">
        <v>3</v>
      </c>
      <c r="F309" s="1" t="s">
        <v>1268</v>
      </c>
      <c r="G309" s="196"/>
      <c r="H309" s="196"/>
    </row>
    <row r="310" spans="1:8" x14ac:dyDescent="0.2">
      <c r="B310" s="173">
        <f>C310</f>
        <v>45000</v>
      </c>
      <c r="C310" s="173">
        <f>D310</f>
        <v>45000</v>
      </c>
      <c r="D310" s="173">
        <f>E310</f>
        <v>45000</v>
      </c>
      <c r="E310" s="173">
        <v>45000</v>
      </c>
      <c r="F310" s="1" t="s">
        <v>1269</v>
      </c>
      <c r="G310" s="196"/>
      <c r="H310" s="196"/>
    </row>
    <row r="311" spans="1:8" x14ac:dyDescent="0.2">
      <c r="B311" s="174">
        <f t="shared" ref="B311" si="1">PV(B308,B309,B310,B312)</f>
        <v>0</v>
      </c>
      <c r="C311" s="174">
        <f t="shared" ref="C311" si="2">PV(C308,C309,C310,C312)</f>
        <v>-39577.517925880507</v>
      </c>
      <c r="D311" s="174">
        <f>PV(D308,D309,D310,D312)</f>
        <v>-74385.960707511433</v>
      </c>
      <c r="E311" s="173">
        <v>-105000</v>
      </c>
      <c r="F311" s="1" t="s">
        <v>1726</v>
      </c>
      <c r="G311" s="196"/>
      <c r="H311" s="196"/>
    </row>
    <row r="312" spans="1:8" x14ac:dyDescent="0.2">
      <c r="A312" s="96"/>
      <c r="B312" s="165">
        <v>0</v>
      </c>
      <c r="C312" s="165">
        <v>0</v>
      </c>
      <c r="D312" s="165">
        <v>0</v>
      </c>
      <c r="E312" s="165">
        <v>0</v>
      </c>
      <c r="F312" s="1" t="s">
        <v>1727</v>
      </c>
      <c r="G312" s="196"/>
      <c r="H312" s="196"/>
    </row>
    <row r="313" spans="1:8" x14ac:dyDescent="0.2">
      <c r="B313" s="197"/>
      <c r="C313" s="197"/>
      <c r="D313" s="197"/>
      <c r="E313" s="197"/>
      <c r="G313" s="196"/>
      <c r="H313" s="196"/>
    </row>
    <row r="314" spans="1:8" x14ac:dyDescent="0.2">
      <c r="A314" s="1" t="s">
        <v>2290</v>
      </c>
      <c r="F314" s="196"/>
      <c r="G314" s="196"/>
      <c r="H314" s="196"/>
    </row>
    <row r="315" spans="1:8" x14ac:dyDescent="0.2">
      <c r="A315" s="1" t="s">
        <v>2291</v>
      </c>
      <c r="F315" s="196"/>
      <c r="G315" s="196"/>
      <c r="H315" s="196"/>
    </row>
    <row r="316" spans="1:8" x14ac:dyDescent="0.2">
      <c r="A316" s="1" t="s">
        <v>2292</v>
      </c>
      <c r="F316" s="196"/>
      <c r="G316" s="196"/>
      <c r="H316" s="196"/>
    </row>
    <row r="317" spans="1:8" x14ac:dyDescent="0.2">
      <c r="F317" s="196"/>
      <c r="G317" s="196"/>
      <c r="H317" s="196"/>
    </row>
    <row r="318" spans="1:8" x14ac:dyDescent="0.2">
      <c r="A318" s="156" t="s">
        <v>2135</v>
      </c>
    </row>
    <row r="319" spans="1:8" x14ac:dyDescent="0.2">
      <c r="A319" s="156"/>
      <c r="C319" s="7"/>
      <c r="D319" s="15">
        <v>43465</v>
      </c>
      <c r="E319" s="15">
        <v>43100</v>
      </c>
    </row>
    <row r="320" spans="1:8" x14ac:dyDescent="0.2">
      <c r="D320" s="223">
        <f>D308</f>
        <v>0.13700914959534755</v>
      </c>
      <c r="E320" s="223">
        <f>E308</f>
        <v>0.13700914959534755</v>
      </c>
      <c r="F320" s="1" t="s">
        <v>1267</v>
      </c>
    </row>
    <row r="321" spans="1:8" x14ac:dyDescent="0.2">
      <c r="D321" s="165">
        <v>3</v>
      </c>
      <c r="E321" s="165">
        <v>2</v>
      </c>
      <c r="F321" s="1" t="s">
        <v>1821</v>
      </c>
    </row>
    <row r="322" spans="1:8" x14ac:dyDescent="0.2">
      <c r="D322" s="165">
        <v>3</v>
      </c>
      <c r="E322" s="165">
        <v>3</v>
      </c>
      <c r="F322" s="1" t="s">
        <v>1268</v>
      </c>
    </row>
    <row r="323" spans="1:8" x14ac:dyDescent="0.2">
      <c r="D323" s="173">
        <f>E323</f>
        <v>-105000</v>
      </c>
      <c r="E323" s="173">
        <f>E311</f>
        <v>-105000</v>
      </c>
      <c r="F323" s="1" t="s">
        <v>1726</v>
      </c>
    </row>
    <row r="324" spans="1:8" x14ac:dyDescent="0.2">
      <c r="D324" s="165">
        <v>0</v>
      </c>
      <c r="E324" s="165">
        <v>0</v>
      </c>
      <c r="F324" s="1" t="s">
        <v>1727</v>
      </c>
    </row>
    <row r="325" spans="1:8" x14ac:dyDescent="0.2">
      <c r="D325" s="174">
        <f>PPMT(D320,D321,D322,D323)</f>
        <v>39577.517925880529</v>
      </c>
      <c r="E325" s="174">
        <f>PPMT(E320,E321,E322,E323)</f>
        <v>34808.442781630954</v>
      </c>
      <c r="F325" s="1" t="s">
        <v>2136</v>
      </c>
    </row>
    <row r="326" spans="1:8" x14ac:dyDescent="0.2">
      <c r="F326" s="196"/>
      <c r="G326" s="196"/>
      <c r="H326" s="196"/>
    </row>
    <row r="327" spans="1:8" x14ac:dyDescent="0.2">
      <c r="A327" s="156" t="s">
        <v>2129</v>
      </c>
    </row>
    <row r="329" spans="1:8" x14ac:dyDescent="0.2">
      <c r="B329" s="16" t="s">
        <v>120</v>
      </c>
      <c r="C329" s="16" t="s">
        <v>490</v>
      </c>
      <c r="D329" s="16"/>
      <c r="E329" s="9" t="s">
        <v>2130</v>
      </c>
    </row>
    <row r="330" spans="1:8" s="96" customFormat="1" x14ac:dyDescent="0.2">
      <c r="B330" s="193">
        <v>42736</v>
      </c>
      <c r="C330" s="96" t="s">
        <v>2131</v>
      </c>
      <c r="E330" s="169">
        <f>-E311</f>
        <v>105000</v>
      </c>
    </row>
    <row r="331" spans="1:8" s="96" customFormat="1" x14ac:dyDescent="0.2">
      <c r="B331" s="96">
        <v>2017</v>
      </c>
      <c r="C331" s="96" t="s">
        <v>2133</v>
      </c>
      <c r="E331" s="169">
        <f>-E310</f>
        <v>-45000</v>
      </c>
    </row>
    <row r="332" spans="1:8" s="96" customFormat="1" x14ac:dyDescent="0.2">
      <c r="B332" s="96">
        <v>2017</v>
      </c>
      <c r="C332" s="96" t="s">
        <v>2134</v>
      </c>
      <c r="E332" s="171">
        <f>E333-E331-E330</f>
        <v>14385.960707511433</v>
      </c>
    </row>
    <row r="333" spans="1:8" s="96" customFormat="1" x14ac:dyDescent="0.2">
      <c r="B333" s="193">
        <v>43100</v>
      </c>
      <c r="C333" s="96" t="s">
        <v>2131</v>
      </c>
      <c r="E333" s="210">
        <f>-D311</f>
        <v>74385.960707511433</v>
      </c>
    </row>
    <row r="334" spans="1:8" s="96" customFormat="1" x14ac:dyDescent="0.2">
      <c r="B334" s="96">
        <v>2018</v>
      </c>
      <c r="C334" s="96" t="s">
        <v>2133</v>
      </c>
      <c r="E334" s="169">
        <v>-45000</v>
      </c>
    </row>
    <row r="335" spans="1:8" s="96" customFormat="1" x14ac:dyDescent="0.2">
      <c r="B335" s="96">
        <v>2018</v>
      </c>
      <c r="C335" s="96" t="s">
        <v>2134</v>
      </c>
      <c r="E335" s="171">
        <f>E336-E334-E333</f>
        <v>10191.557218369067</v>
      </c>
    </row>
    <row r="336" spans="1:8" s="96" customFormat="1" x14ac:dyDescent="0.2">
      <c r="B336" s="193">
        <v>43465</v>
      </c>
      <c r="C336" s="96" t="s">
        <v>2131</v>
      </c>
      <c r="E336" s="210">
        <f>-C311</f>
        <v>39577.517925880507</v>
      </c>
    </row>
    <row r="337" spans="1:7" s="96" customFormat="1" x14ac:dyDescent="0.2">
      <c r="B337" s="96">
        <v>2019</v>
      </c>
      <c r="C337" s="96" t="s">
        <v>2133</v>
      </c>
      <c r="E337" s="169">
        <v>-45000</v>
      </c>
    </row>
    <row r="338" spans="1:7" s="96" customFormat="1" x14ac:dyDescent="0.2">
      <c r="B338" s="96">
        <v>2019</v>
      </c>
      <c r="C338" s="96" t="s">
        <v>2134</v>
      </c>
      <c r="E338" s="171">
        <f>E339-E337-E336</f>
        <v>5422.4820741194926</v>
      </c>
    </row>
    <row r="339" spans="1:7" s="96" customFormat="1" x14ac:dyDescent="0.2">
      <c r="B339" s="193">
        <v>43830</v>
      </c>
      <c r="C339" s="96" t="s">
        <v>2131</v>
      </c>
      <c r="E339" s="210">
        <f>-B311</f>
        <v>0</v>
      </c>
    </row>
    <row r="341" spans="1:7" x14ac:dyDescent="0.2">
      <c r="A341" s="156" t="s">
        <v>2137</v>
      </c>
    </row>
    <row r="343" spans="1:7" x14ac:dyDescent="0.2">
      <c r="A343" s="16" t="s">
        <v>1776</v>
      </c>
      <c r="B343" s="16"/>
      <c r="C343" s="16"/>
      <c r="D343" s="15">
        <v>43100</v>
      </c>
      <c r="E343" s="15">
        <v>43465</v>
      </c>
      <c r="F343" s="15">
        <v>43830</v>
      </c>
    </row>
    <row r="344" spans="1:7" x14ac:dyDescent="0.2">
      <c r="A344" s="1" t="s">
        <v>2138</v>
      </c>
      <c r="D344" s="11">
        <f>E325</f>
        <v>34808.442781630954</v>
      </c>
      <c r="E344" s="11">
        <f>D325</f>
        <v>39577.517925880529</v>
      </c>
      <c r="F344" s="11">
        <v>0</v>
      </c>
    </row>
    <row r="345" spans="1:7" x14ac:dyDescent="0.2">
      <c r="A345" s="1" t="s">
        <v>2139</v>
      </c>
      <c r="D345" s="11">
        <f>E333-E325</f>
        <v>39577.517925880478</v>
      </c>
      <c r="E345" s="11">
        <f>E336-D325</f>
        <v>0</v>
      </c>
      <c r="F345" s="11">
        <v>0</v>
      </c>
      <c r="G345" s="1" t="s">
        <v>2293</v>
      </c>
    </row>
    <row r="346" spans="1:7" x14ac:dyDescent="0.2">
      <c r="D346" s="197"/>
      <c r="E346" s="197"/>
      <c r="F346" s="197"/>
    </row>
    <row r="347" spans="1:7" x14ac:dyDescent="0.2">
      <c r="A347" s="1" t="s">
        <v>2296</v>
      </c>
      <c r="D347" s="197"/>
      <c r="E347" s="197"/>
      <c r="F347" s="197"/>
    </row>
    <row r="348" spans="1:7" x14ac:dyDescent="0.2">
      <c r="A348" s="1" t="s">
        <v>2294</v>
      </c>
      <c r="D348" s="11">
        <v>105000</v>
      </c>
      <c r="E348" s="197"/>
      <c r="F348" s="197"/>
    </row>
    <row r="349" spans="1:7" x14ac:dyDescent="0.2">
      <c r="A349" s="1" t="s">
        <v>2295</v>
      </c>
      <c r="D349" s="11">
        <v>95000</v>
      </c>
      <c r="E349" s="197"/>
      <c r="F349" s="197"/>
    </row>
    <row r="350" spans="1:7" x14ac:dyDescent="0.2">
      <c r="A350" s="1" t="s">
        <v>2159</v>
      </c>
      <c r="D350" s="11">
        <v>4855</v>
      </c>
      <c r="E350" s="2"/>
      <c r="F350" s="2"/>
    </row>
    <row r="351" spans="1:7" x14ac:dyDescent="0.2">
      <c r="A351" s="1" t="s">
        <v>2140</v>
      </c>
      <c r="D351" s="11">
        <f>E332</f>
        <v>14385.960707511433</v>
      </c>
      <c r="E351" s="11">
        <f>E335</f>
        <v>10191.557218369067</v>
      </c>
      <c r="F351" s="11">
        <f>E338</f>
        <v>5422.4820741194926</v>
      </c>
    </row>
    <row r="352" spans="1:7" ht="17" thickBot="1" x14ac:dyDescent="0.25"/>
    <row r="353" spans="1:8" x14ac:dyDescent="0.2">
      <c r="A353" s="22" t="s">
        <v>2120</v>
      </c>
      <c r="B353" s="23"/>
      <c r="C353" s="23"/>
      <c r="D353" s="23"/>
      <c r="E353" s="23"/>
      <c r="F353" s="23"/>
      <c r="G353" s="23"/>
      <c r="H353" s="35"/>
    </row>
    <row r="354" spans="1:8" ht="17" thickBot="1" x14ac:dyDescent="0.25">
      <c r="A354" s="125" t="s">
        <v>2302</v>
      </c>
      <c r="B354" s="29"/>
      <c r="C354" s="29"/>
      <c r="D354" s="29"/>
      <c r="E354" s="29"/>
      <c r="F354" s="29"/>
      <c r="G354" s="29"/>
      <c r="H354" s="37"/>
    </row>
    <row r="355" spans="1:8" x14ac:dyDescent="0.2">
      <c r="A355" s="1" t="s">
        <v>2160</v>
      </c>
    </row>
    <row r="356" spans="1:8" x14ac:dyDescent="0.2">
      <c r="A356" s="1" t="s">
        <v>2161</v>
      </c>
    </row>
    <row r="357" spans="1:8" x14ac:dyDescent="0.2">
      <c r="A357" s="54" t="s">
        <v>2162</v>
      </c>
      <c r="B357" s="54"/>
      <c r="C357" s="54"/>
      <c r="D357" s="54"/>
      <c r="E357" s="54"/>
      <c r="F357" s="54"/>
      <c r="G357" s="54"/>
      <c r="H357" s="54"/>
    </row>
    <row r="359" spans="1:8" x14ac:dyDescent="0.2">
      <c r="A359" s="1" t="s">
        <v>2297</v>
      </c>
    </row>
    <row r="360" spans="1:8" x14ac:dyDescent="0.2">
      <c r="A360" s="1" t="s">
        <v>2298</v>
      </c>
    </row>
    <row r="361" spans="1:8" x14ac:dyDescent="0.2">
      <c r="A361" s="1" t="s">
        <v>2299</v>
      </c>
    </row>
    <row r="362" spans="1:8" x14ac:dyDescent="0.2">
      <c r="A362" s="1" t="s">
        <v>2300</v>
      </c>
      <c r="E362" s="8">
        <v>105000</v>
      </c>
      <c r="F362" s="417" t="s">
        <v>2304</v>
      </c>
      <c r="G362" s="417"/>
    </row>
    <row r="363" spans="1:8" x14ac:dyDescent="0.2">
      <c r="A363" s="1" t="s">
        <v>2301</v>
      </c>
      <c r="E363" s="8">
        <f>-E369</f>
        <v>81666.666666666613</v>
      </c>
      <c r="F363" s="417"/>
      <c r="G363" s="417"/>
    </row>
    <row r="365" spans="1:8" x14ac:dyDescent="0.2">
      <c r="B365" s="39">
        <v>43830</v>
      </c>
      <c r="C365" s="39">
        <v>43465</v>
      </c>
      <c r="D365" s="15">
        <v>43100</v>
      </c>
      <c r="E365" s="15">
        <v>42736</v>
      </c>
    </row>
    <row r="366" spans="1:8" x14ac:dyDescent="0.2">
      <c r="B366" s="168">
        <f>C366</f>
        <v>0.13700914959534755</v>
      </c>
      <c r="C366" s="168">
        <f>D366</f>
        <v>0.13700914959534755</v>
      </c>
      <c r="D366" s="168">
        <f>E366</f>
        <v>0.13700914959534755</v>
      </c>
      <c r="E366" s="168">
        <f>E308</f>
        <v>0.13700914959534755</v>
      </c>
      <c r="F366" s="1" t="s">
        <v>1267</v>
      </c>
      <c r="G366" s="1" t="s">
        <v>2303</v>
      </c>
    </row>
    <row r="367" spans="1:8" x14ac:dyDescent="0.2">
      <c r="B367" s="165">
        <v>0</v>
      </c>
      <c r="C367" s="165">
        <v>1</v>
      </c>
      <c r="D367" s="165">
        <f>2</f>
        <v>2</v>
      </c>
      <c r="E367" s="165">
        <f>E309</f>
        <v>3</v>
      </c>
      <c r="F367" s="1" t="s">
        <v>1268</v>
      </c>
    </row>
    <row r="368" spans="1:8" x14ac:dyDescent="0.2">
      <c r="B368" s="173">
        <f>C368</f>
        <v>35000</v>
      </c>
      <c r="C368" s="173">
        <f>D368</f>
        <v>35000</v>
      </c>
      <c r="D368" s="173">
        <f>E368</f>
        <v>35000</v>
      </c>
      <c r="E368" s="173">
        <v>35000</v>
      </c>
      <c r="F368" s="1" t="s">
        <v>1269</v>
      </c>
    </row>
    <row r="369" spans="1:6" x14ac:dyDescent="0.2">
      <c r="B369" s="174">
        <f t="shared" ref="B369" si="3">PV(B366,B367,B368,B370)</f>
        <v>0</v>
      </c>
      <c r="C369" s="174">
        <f t="shared" ref="C369" si="4">PV(C366,C367,C368,C370)</f>
        <v>-30782.513942351503</v>
      </c>
      <c r="D369" s="174">
        <f>PV(D366,D367,D368,D370)</f>
        <v>-57855.747216953328</v>
      </c>
      <c r="E369" s="174">
        <f>PV(E366,E367,E368,E370)</f>
        <v>-81666.666666666613</v>
      </c>
      <c r="F369" s="1" t="s">
        <v>1726</v>
      </c>
    </row>
    <row r="370" spans="1:6" x14ac:dyDescent="0.2">
      <c r="B370" s="165">
        <v>0</v>
      </c>
      <c r="C370" s="165">
        <v>0</v>
      </c>
      <c r="D370" s="165">
        <v>0</v>
      </c>
      <c r="E370" s="165">
        <v>0</v>
      </c>
      <c r="F370" s="1" t="s">
        <v>1727</v>
      </c>
    </row>
    <row r="372" spans="1:6" x14ac:dyDescent="0.2">
      <c r="A372" s="156" t="s">
        <v>2135</v>
      </c>
    </row>
    <row r="373" spans="1:6" x14ac:dyDescent="0.2">
      <c r="A373" s="96" t="s">
        <v>2305</v>
      </c>
    </row>
    <row r="374" spans="1:6" x14ac:dyDescent="0.2">
      <c r="A374" s="96" t="s">
        <v>2306</v>
      </c>
    </row>
    <row r="375" spans="1:6" x14ac:dyDescent="0.2">
      <c r="A375" s="96" t="s">
        <v>2307</v>
      </c>
    </row>
    <row r="376" spans="1:6" x14ac:dyDescent="0.2">
      <c r="A376" s="96" t="s">
        <v>2308</v>
      </c>
    </row>
    <row r="377" spans="1:6" x14ac:dyDescent="0.2">
      <c r="A377" s="156"/>
    </row>
    <row r="378" spans="1:6" x14ac:dyDescent="0.2">
      <c r="A378" s="156"/>
      <c r="C378" s="7"/>
      <c r="D378" s="15">
        <v>43465</v>
      </c>
      <c r="E378" s="15">
        <v>43100</v>
      </c>
    </row>
    <row r="379" spans="1:6" s="96" customFormat="1" x14ac:dyDescent="0.2">
      <c r="D379" s="223">
        <f>D366</f>
        <v>0.13700914959534755</v>
      </c>
      <c r="E379" s="223">
        <f>E366</f>
        <v>0.13700914959534755</v>
      </c>
      <c r="F379" s="96" t="s">
        <v>1267</v>
      </c>
    </row>
    <row r="380" spans="1:6" x14ac:dyDescent="0.2">
      <c r="D380" s="165">
        <v>3</v>
      </c>
      <c r="E380" s="165">
        <v>2</v>
      </c>
      <c r="F380" s="1" t="s">
        <v>1821</v>
      </c>
    </row>
    <row r="381" spans="1:6" x14ac:dyDescent="0.2">
      <c r="D381" s="165">
        <v>3</v>
      </c>
      <c r="E381" s="165">
        <v>3</v>
      </c>
      <c r="F381" s="1" t="s">
        <v>1268</v>
      </c>
    </row>
    <row r="382" spans="1:6" x14ac:dyDescent="0.2">
      <c r="D382" s="173">
        <f>E382</f>
        <v>-81666.666666666613</v>
      </c>
      <c r="E382" s="173">
        <f>E369</f>
        <v>-81666.666666666613</v>
      </c>
      <c r="F382" s="1" t="s">
        <v>1726</v>
      </c>
    </row>
    <row r="383" spans="1:6" x14ac:dyDescent="0.2">
      <c r="D383" s="165">
        <v>0</v>
      </c>
      <c r="E383" s="165">
        <v>0</v>
      </c>
      <c r="F383" s="1" t="s">
        <v>1727</v>
      </c>
    </row>
    <row r="384" spans="1:6" x14ac:dyDescent="0.2">
      <c r="D384" s="174">
        <f>PPMT(D379,D380,D381,D382)</f>
        <v>30782.513942351499</v>
      </c>
      <c r="E384" s="174">
        <f>PPMT(E379,E380,E381,E382)</f>
        <v>27073.233274601836</v>
      </c>
      <c r="F384" s="1" t="s">
        <v>2136</v>
      </c>
    </row>
    <row r="386" spans="1:5" x14ac:dyDescent="0.2">
      <c r="A386" s="156" t="s">
        <v>2129</v>
      </c>
    </row>
    <row r="388" spans="1:5" x14ac:dyDescent="0.2">
      <c r="B388" s="16" t="s">
        <v>120</v>
      </c>
      <c r="C388" s="16" t="s">
        <v>490</v>
      </c>
      <c r="D388" s="16"/>
      <c r="E388" s="9" t="s">
        <v>2130</v>
      </c>
    </row>
    <row r="389" spans="1:5" s="96" customFormat="1" x14ac:dyDescent="0.2">
      <c r="B389" s="193">
        <v>42736</v>
      </c>
      <c r="C389" s="96" t="s">
        <v>2131</v>
      </c>
      <c r="E389" s="169">
        <f>-E369</f>
        <v>81666.666666666613</v>
      </c>
    </row>
    <row r="390" spans="1:5" s="96" customFormat="1" x14ac:dyDescent="0.2">
      <c r="B390" s="96">
        <v>2017</v>
      </c>
      <c r="C390" s="96" t="s">
        <v>2133</v>
      </c>
      <c r="E390" s="169">
        <f>-E368</f>
        <v>-35000</v>
      </c>
    </row>
    <row r="391" spans="1:5" s="96" customFormat="1" x14ac:dyDescent="0.2">
      <c r="B391" s="96">
        <v>2017</v>
      </c>
      <c r="C391" s="96" t="s">
        <v>2134</v>
      </c>
      <c r="E391" s="169">
        <f>E392-E390-E389</f>
        <v>11189.080550286715</v>
      </c>
    </row>
    <row r="392" spans="1:5" s="96" customFormat="1" x14ac:dyDescent="0.2">
      <c r="B392" s="193">
        <v>43100</v>
      </c>
      <c r="C392" s="96" t="s">
        <v>2131</v>
      </c>
      <c r="E392" s="210">
        <f>-D369</f>
        <v>57855.747216953328</v>
      </c>
    </row>
    <row r="393" spans="1:5" s="96" customFormat="1" x14ac:dyDescent="0.2">
      <c r="B393" s="96">
        <v>2018</v>
      </c>
      <c r="C393" s="96" t="s">
        <v>2133</v>
      </c>
      <c r="E393" s="169">
        <v>-35000</v>
      </c>
    </row>
    <row r="394" spans="1:5" s="96" customFormat="1" x14ac:dyDescent="0.2">
      <c r="B394" s="96">
        <v>2018</v>
      </c>
      <c r="C394" s="96" t="s">
        <v>2134</v>
      </c>
      <c r="E394" s="169">
        <f>E395-E393-E392</f>
        <v>7926.7667253981781</v>
      </c>
    </row>
    <row r="395" spans="1:5" s="96" customFormat="1" x14ac:dyDescent="0.2">
      <c r="B395" s="193">
        <v>43465</v>
      </c>
      <c r="C395" s="96" t="s">
        <v>2131</v>
      </c>
      <c r="E395" s="210">
        <f>-C369</f>
        <v>30782.513942351503</v>
      </c>
    </row>
    <row r="396" spans="1:5" s="96" customFormat="1" x14ac:dyDescent="0.2">
      <c r="B396" s="96">
        <v>2019</v>
      </c>
      <c r="C396" s="96" t="s">
        <v>2133</v>
      </c>
      <c r="E396" s="169">
        <v>-35000</v>
      </c>
    </row>
    <row r="397" spans="1:5" s="96" customFormat="1" x14ac:dyDescent="0.2">
      <c r="B397" s="96">
        <v>2019</v>
      </c>
      <c r="C397" s="96" t="s">
        <v>2134</v>
      </c>
      <c r="E397" s="169">
        <f>E398-E396-E395</f>
        <v>4217.4860576484971</v>
      </c>
    </row>
    <row r="398" spans="1:5" s="96" customFormat="1" x14ac:dyDescent="0.2">
      <c r="B398" s="193">
        <v>43830</v>
      </c>
      <c r="C398" s="96" t="s">
        <v>2131</v>
      </c>
      <c r="E398" s="210">
        <f>-B369</f>
        <v>0</v>
      </c>
    </row>
    <row r="400" spans="1:5" x14ac:dyDescent="0.2">
      <c r="A400" s="156" t="s">
        <v>2137</v>
      </c>
    </row>
    <row r="402" spans="1:8" x14ac:dyDescent="0.2">
      <c r="A402" s="16" t="s">
        <v>1776</v>
      </c>
      <c r="B402" s="16"/>
      <c r="C402" s="16"/>
      <c r="D402" s="15">
        <v>43100</v>
      </c>
      <c r="E402" s="15">
        <v>43465</v>
      </c>
      <c r="F402" s="15">
        <v>43830</v>
      </c>
    </row>
    <row r="403" spans="1:8" s="96" customFormat="1" x14ac:dyDescent="0.2">
      <c r="A403" s="96" t="s">
        <v>2138</v>
      </c>
      <c r="D403" s="169">
        <f>E384</f>
        <v>27073.233274601836</v>
      </c>
      <c r="E403" s="169">
        <f>D384</f>
        <v>30782.513942351499</v>
      </c>
      <c r="F403" s="169">
        <v>0</v>
      </c>
    </row>
    <row r="404" spans="1:8" s="96" customFormat="1" x14ac:dyDescent="0.2">
      <c r="A404" s="96" t="s">
        <v>2139</v>
      </c>
      <c r="D404" s="169">
        <f>E392-E384</f>
        <v>30782.513942351492</v>
      </c>
      <c r="E404" s="169">
        <f>E395-D384</f>
        <v>0</v>
      </c>
      <c r="F404" s="169">
        <v>0</v>
      </c>
    </row>
    <row r="405" spans="1:8" x14ac:dyDescent="0.2">
      <c r="D405" s="165"/>
      <c r="E405" s="165"/>
      <c r="F405" s="165"/>
    </row>
    <row r="406" spans="1:8" x14ac:dyDescent="0.2">
      <c r="A406" s="1" t="s">
        <v>2141</v>
      </c>
      <c r="D406" s="165"/>
      <c r="E406" s="165"/>
      <c r="F406" s="165"/>
    </row>
    <row r="407" spans="1:8" x14ac:dyDescent="0.2">
      <c r="A407" s="1" t="s">
        <v>2157</v>
      </c>
      <c r="D407" s="169">
        <f>E389</f>
        <v>81666.666666666613</v>
      </c>
      <c r="E407" s="197"/>
      <c r="F407" s="197"/>
    </row>
    <row r="408" spans="1:8" x14ac:dyDescent="0.2">
      <c r="A408" s="1" t="s">
        <v>2309</v>
      </c>
      <c r="D408" s="169">
        <v>95000</v>
      </c>
      <c r="E408" s="197"/>
      <c r="F408" s="197"/>
    </row>
    <row r="409" spans="1:8" s="96" customFormat="1" x14ac:dyDescent="0.2">
      <c r="A409" s="96" t="s">
        <v>2159</v>
      </c>
      <c r="D409" s="169">
        <v>4855</v>
      </c>
      <c r="E409" s="165"/>
      <c r="F409" s="165"/>
    </row>
    <row r="410" spans="1:8" s="96" customFormat="1" x14ac:dyDescent="0.2">
      <c r="A410" s="96" t="s">
        <v>2140</v>
      </c>
      <c r="D410" s="169">
        <f>E391</f>
        <v>11189.080550286715</v>
      </c>
      <c r="E410" s="169">
        <f>E394</f>
        <v>7926.7667253981781</v>
      </c>
      <c r="F410" s="169">
        <f>E397</f>
        <v>4217.4860576484971</v>
      </c>
    </row>
    <row r="412" spans="1:8" x14ac:dyDescent="0.2">
      <c r="A412" s="6" t="s">
        <v>2114</v>
      </c>
      <c r="B412" s="6"/>
      <c r="C412" s="6"/>
      <c r="D412" s="6"/>
      <c r="E412" s="6"/>
      <c r="F412" s="6"/>
      <c r="G412" s="6"/>
      <c r="H412" s="6"/>
    </row>
    <row r="413" spans="1:8" x14ac:dyDescent="0.2">
      <c r="A413" s="1" t="s">
        <v>2164</v>
      </c>
    </row>
    <row r="414" spans="1:8" x14ac:dyDescent="0.2">
      <c r="A414" s="1" t="s">
        <v>2165</v>
      </c>
    </row>
    <row r="415" spans="1:8" x14ac:dyDescent="0.2">
      <c r="A415" s="1" t="s">
        <v>2166</v>
      </c>
    </row>
    <row r="416" spans="1:8" x14ac:dyDescent="0.2">
      <c r="A416" s="1" t="s">
        <v>2167</v>
      </c>
    </row>
    <row r="417" spans="1:10" x14ac:dyDescent="0.2">
      <c r="A417" s="1" t="s">
        <v>2168</v>
      </c>
    </row>
    <row r="418" spans="1:10" x14ac:dyDescent="0.2">
      <c r="A418" s="1" t="s">
        <v>2169</v>
      </c>
    </row>
    <row r="419" spans="1:10" x14ac:dyDescent="0.2">
      <c r="A419" s="1" t="s">
        <v>2170</v>
      </c>
    </row>
    <row r="420" spans="1:10" x14ac:dyDescent="0.2">
      <c r="A420" s="1" t="s">
        <v>2173</v>
      </c>
    </row>
    <row r="421" spans="1:10" x14ac:dyDescent="0.2">
      <c r="A421" s="1" t="s">
        <v>2171</v>
      </c>
    </row>
    <row r="423" spans="1:10" x14ac:dyDescent="0.2">
      <c r="A423" s="1" t="s">
        <v>2172</v>
      </c>
    </row>
    <row r="425" spans="1:10" x14ac:dyDescent="0.2">
      <c r="A425" s="3" t="s">
        <v>1505</v>
      </c>
    </row>
    <row r="427" spans="1:10" x14ac:dyDescent="0.2">
      <c r="A427" s="156" t="s">
        <v>2174</v>
      </c>
    </row>
    <row r="428" spans="1:10" x14ac:dyDescent="0.2">
      <c r="A428" s="1" t="s">
        <v>2175</v>
      </c>
    </row>
    <row r="429" spans="1:10" x14ac:dyDescent="0.2">
      <c r="A429" s="1" t="s">
        <v>2176</v>
      </c>
    </row>
    <row r="431" spans="1:10" x14ac:dyDescent="0.2">
      <c r="A431" s="156" t="s">
        <v>2177</v>
      </c>
    </row>
    <row r="432" spans="1:10" x14ac:dyDescent="0.2">
      <c r="A432" s="1" t="s">
        <v>2178</v>
      </c>
      <c r="J432" s="223"/>
    </row>
    <row r="433" spans="1:10" x14ac:dyDescent="0.2">
      <c r="A433" s="1" t="s">
        <v>2179</v>
      </c>
      <c r="J433" s="165"/>
    </row>
    <row r="434" spans="1:10" x14ac:dyDescent="0.2">
      <c r="A434" s="1" t="s">
        <v>2180</v>
      </c>
      <c r="J434" s="173"/>
    </row>
    <row r="435" spans="1:10" x14ac:dyDescent="0.2">
      <c r="A435" s="1" t="s">
        <v>2181</v>
      </c>
      <c r="J435" s="173"/>
    </row>
    <row r="436" spans="1:10" x14ac:dyDescent="0.2">
      <c r="B436" s="1" t="s">
        <v>2182</v>
      </c>
      <c r="G436" s="201">
        <f>-F447</f>
        <v>109465</v>
      </c>
      <c r="J436" s="165"/>
    </row>
    <row r="437" spans="1:10" x14ac:dyDescent="0.2">
      <c r="B437" s="1" t="s">
        <v>2183</v>
      </c>
      <c r="G437" s="1" t="s">
        <v>2190</v>
      </c>
    </row>
    <row r="439" spans="1:10" x14ac:dyDescent="0.2">
      <c r="A439" s="1" t="s">
        <v>2184</v>
      </c>
      <c r="G439" s="1" t="s">
        <v>2190</v>
      </c>
    </row>
    <row r="441" spans="1:10" x14ac:dyDescent="0.2">
      <c r="A441" s="156" t="s">
        <v>2156</v>
      </c>
      <c r="F441" s="196"/>
      <c r="G441" s="196"/>
      <c r="H441" s="196"/>
    </row>
    <row r="442" spans="1:10" x14ac:dyDescent="0.2">
      <c r="D442" s="69" t="s">
        <v>2195</v>
      </c>
      <c r="E442" s="69" t="s">
        <v>2186</v>
      </c>
      <c r="F442" s="196"/>
      <c r="G442" s="196"/>
      <c r="H442" s="196"/>
    </row>
    <row r="443" spans="1:10" x14ac:dyDescent="0.2">
      <c r="A443" s="15">
        <v>44196</v>
      </c>
      <c r="B443" s="39">
        <v>43830</v>
      </c>
      <c r="C443" s="39">
        <v>43465</v>
      </c>
      <c r="D443" s="15">
        <v>43100</v>
      </c>
      <c r="E443" s="15">
        <v>43100</v>
      </c>
      <c r="F443" s="39">
        <v>42736</v>
      </c>
      <c r="H443" s="196"/>
    </row>
    <row r="444" spans="1:10" x14ac:dyDescent="0.2">
      <c r="A444" s="223">
        <f>B444</f>
        <v>6.9149514556687178E-2</v>
      </c>
      <c r="B444" s="223">
        <f>C444</f>
        <v>6.9149514556687178E-2</v>
      </c>
      <c r="C444" s="223">
        <f>D444</f>
        <v>6.9149514556687178E-2</v>
      </c>
      <c r="D444" s="223">
        <f>F444</f>
        <v>6.9149514556687178E-2</v>
      </c>
      <c r="E444" s="223">
        <f>F444</f>
        <v>6.9149514556687178E-2</v>
      </c>
      <c r="F444" s="167">
        <f>RATE(F445,F446,F447,F448)</f>
        <v>6.9149514556687178E-2</v>
      </c>
      <c r="G444" s="1" t="s">
        <v>1267</v>
      </c>
      <c r="H444" s="196"/>
    </row>
    <row r="445" spans="1:10" x14ac:dyDescent="0.2">
      <c r="A445" s="165">
        <v>0</v>
      </c>
      <c r="B445" s="165">
        <v>1</v>
      </c>
      <c r="C445" s="165">
        <v>2</v>
      </c>
      <c r="D445" s="165">
        <v>3</v>
      </c>
      <c r="E445" s="165">
        <v>3</v>
      </c>
      <c r="F445" s="165">
        <v>4</v>
      </c>
      <c r="G445" s="1" t="s">
        <v>1268</v>
      </c>
      <c r="H445" s="196"/>
    </row>
    <row r="446" spans="1:10" x14ac:dyDescent="0.2">
      <c r="A446" s="173">
        <v>0</v>
      </c>
      <c r="B446" s="173">
        <f>C446</f>
        <v>30000</v>
      </c>
      <c r="C446" s="173">
        <f>D446</f>
        <v>30000</v>
      </c>
      <c r="D446" s="173">
        <f>F446</f>
        <v>30000</v>
      </c>
      <c r="E446" s="173">
        <f>F446</f>
        <v>30000</v>
      </c>
      <c r="F446" s="173">
        <v>30000</v>
      </c>
      <c r="G446" s="1" t="s">
        <v>1269</v>
      </c>
      <c r="H446" s="196"/>
    </row>
    <row r="447" spans="1:10" x14ac:dyDescent="0.2">
      <c r="A447" s="174">
        <f t="shared" ref="A447:B447" si="5">PV(A444,A445,A446,A448)</f>
        <v>0</v>
      </c>
      <c r="B447" s="174">
        <f t="shared" si="5"/>
        <v>-35074.607891066589</v>
      </c>
      <c r="C447" s="174">
        <f t="shared" ref="C447" si="6">PV(C444,C445,C446,C448)</f>
        <v>-60865.769478508475</v>
      </c>
      <c r="D447" s="174">
        <f>PV(D444,D445,D446,D448)</f>
        <v>-84988.832938099542</v>
      </c>
      <c r="E447" s="174">
        <f>PV(E444,E445,E446,E448)</f>
        <v>-87034.451610947683</v>
      </c>
      <c r="F447" s="173">
        <v>-109465</v>
      </c>
      <c r="G447" s="1" t="s">
        <v>1726</v>
      </c>
      <c r="H447" s="196"/>
    </row>
    <row r="448" spans="1:10" x14ac:dyDescent="0.2">
      <c r="A448" s="165">
        <v>0</v>
      </c>
      <c r="B448" s="165">
        <v>7500</v>
      </c>
      <c r="C448" s="165">
        <v>7500</v>
      </c>
      <c r="D448" s="165">
        <v>7500</v>
      </c>
      <c r="E448" s="165">
        <v>10000</v>
      </c>
      <c r="F448" s="165">
        <v>10000</v>
      </c>
      <c r="G448" s="1" t="s">
        <v>1727</v>
      </c>
      <c r="H448" s="196"/>
    </row>
    <row r="449" spans="1:8" x14ac:dyDescent="0.2">
      <c r="F449" s="196"/>
      <c r="G449" s="196"/>
      <c r="H449" s="196"/>
    </row>
    <row r="450" spans="1:8" x14ac:dyDescent="0.2">
      <c r="F450" s="196"/>
      <c r="G450" s="196"/>
      <c r="H450" s="196"/>
    </row>
    <row r="451" spans="1:8" x14ac:dyDescent="0.2">
      <c r="D451" s="1" t="s">
        <v>2327</v>
      </c>
      <c r="F451" s="196"/>
      <c r="G451" s="196"/>
      <c r="H451" s="196"/>
    </row>
    <row r="452" spans="1:8" x14ac:dyDescent="0.2">
      <c r="D452" s="8">
        <f>D447-E447</f>
        <v>2045.6186728481407</v>
      </c>
      <c r="F452" s="196"/>
      <c r="G452" s="196"/>
      <c r="H452" s="196"/>
    </row>
    <row r="453" spans="1:8" x14ac:dyDescent="0.2">
      <c r="F453" s="196"/>
      <c r="G453" s="196"/>
      <c r="H453" s="196"/>
    </row>
    <row r="454" spans="1:8" x14ac:dyDescent="0.2">
      <c r="A454" s="1" t="s">
        <v>2310</v>
      </c>
      <c r="F454" s="196"/>
      <c r="G454" s="196"/>
      <c r="H454" s="196"/>
    </row>
    <row r="455" spans="1:8" x14ac:dyDescent="0.2">
      <c r="A455" s="1" t="s">
        <v>2311</v>
      </c>
      <c r="F455" s="196"/>
      <c r="G455" s="196"/>
      <c r="H455" s="196"/>
    </row>
    <row r="456" spans="1:8" x14ac:dyDescent="0.2">
      <c r="A456" s="1" t="s">
        <v>2312</v>
      </c>
      <c r="F456" s="196"/>
      <c r="G456" s="196"/>
      <c r="H456" s="196"/>
    </row>
    <row r="457" spans="1:8" x14ac:dyDescent="0.2">
      <c r="F457" s="196"/>
      <c r="G457" s="196"/>
      <c r="H457" s="196"/>
    </row>
    <row r="458" spans="1:8" x14ac:dyDescent="0.2">
      <c r="A458" s="225" t="s">
        <v>2316</v>
      </c>
      <c r="F458" s="196"/>
      <c r="G458" s="196"/>
      <c r="H458" s="196"/>
    </row>
    <row r="459" spans="1:8" x14ac:dyDescent="0.2">
      <c r="A459" s="1" t="s">
        <v>2313</v>
      </c>
      <c r="F459" s="196"/>
      <c r="G459" s="196"/>
      <c r="H459" s="196"/>
    </row>
    <row r="460" spans="1:8" x14ac:dyDescent="0.2">
      <c r="A460" s="1" t="s">
        <v>2314</v>
      </c>
      <c r="F460" s="196"/>
      <c r="G460" s="196"/>
      <c r="H460" s="196"/>
    </row>
    <row r="461" spans="1:8" x14ac:dyDescent="0.2">
      <c r="A461" s="1" t="s">
        <v>2315</v>
      </c>
      <c r="F461" s="196"/>
      <c r="G461" s="196"/>
      <c r="H461" s="196"/>
    </row>
    <row r="462" spans="1:8" x14ac:dyDescent="0.2">
      <c r="F462" s="196"/>
      <c r="G462" s="196"/>
      <c r="H462" s="196"/>
    </row>
    <row r="463" spans="1:8" x14ac:dyDescent="0.2">
      <c r="A463" s="156" t="s">
        <v>2332</v>
      </c>
      <c r="F463" s="196"/>
      <c r="G463" s="196"/>
      <c r="H463" s="196"/>
    </row>
    <row r="464" spans="1:8" x14ac:dyDescent="0.2">
      <c r="A464" s="96" t="s">
        <v>2331</v>
      </c>
      <c r="F464" s="196"/>
      <c r="G464" s="196"/>
      <c r="H464" s="196"/>
    </row>
    <row r="465" spans="1:8" x14ac:dyDescent="0.2">
      <c r="F465" s="196"/>
      <c r="G465" s="196"/>
      <c r="H465" s="196"/>
    </row>
    <row r="466" spans="1:8" x14ac:dyDescent="0.2">
      <c r="A466" s="1" t="s">
        <v>2187</v>
      </c>
      <c r="C466" s="157">
        <f>G436</f>
        <v>109465</v>
      </c>
      <c r="F466" s="2"/>
      <c r="G466" s="196"/>
      <c r="H466" s="196"/>
    </row>
    <row r="467" spans="1:8" x14ac:dyDescent="0.2">
      <c r="A467" s="1" t="s">
        <v>2188</v>
      </c>
      <c r="C467" s="157">
        <f>-F471</f>
        <v>104107.72096092203</v>
      </c>
      <c r="F467" s="15">
        <v>42736</v>
      </c>
      <c r="G467" s="196"/>
      <c r="H467" s="196"/>
    </row>
    <row r="468" spans="1:8" x14ac:dyDescent="0.2">
      <c r="A468" s="1" t="s">
        <v>2189</v>
      </c>
      <c r="C468" s="177">
        <f>C467</f>
        <v>104107.72096092203</v>
      </c>
      <c r="E468" s="1" t="s">
        <v>2338</v>
      </c>
      <c r="F468" s="223">
        <f>F444</f>
        <v>6.9149514556687178E-2</v>
      </c>
      <c r="G468" s="1" t="s">
        <v>1267</v>
      </c>
      <c r="H468" s="196"/>
    </row>
    <row r="469" spans="1:8" x14ac:dyDescent="0.2">
      <c r="F469" s="165">
        <v>4</v>
      </c>
      <c r="G469" s="1" t="s">
        <v>1268</v>
      </c>
      <c r="H469" s="196"/>
    </row>
    <row r="470" spans="1:8" x14ac:dyDescent="0.2">
      <c r="F470" s="173">
        <f>F446</f>
        <v>30000</v>
      </c>
      <c r="G470" s="1" t="s">
        <v>1269</v>
      </c>
      <c r="H470" s="196"/>
    </row>
    <row r="471" spans="1:8" x14ac:dyDescent="0.2">
      <c r="F471" s="174">
        <f>PV(F468,F469,F470,F472)</f>
        <v>-104107.72096092203</v>
      </c>
      <c r="G471" s="1" t="s">
        <v>1726</v>
      </c>
      <c r="H471" s="196"/>
    </row>
    <row r="472" spans="1:8" x14ac:dyDescent="0.2">
      <c r="A472" s="1" t="s">
        <v>2337</v>
      </c>
      <c r="F472" s="165">
        <v>3000</v>
      </c>
      <c r="G472" s="1" t="s">
        <v>1727</v>
      </c>
      <c r="H472" s="196"/>
    </row>
    <row r="473" spans="1:8" x14ac:dyDescent="0.2">
      <c r="F473" s="196"/>
      <c r="G473" s="196"/>
      <c r="H473" s="196"/>
    </row>
    <row r="474" spans="1:8" x14ac:dyDescent="0.2">
      <c r="A474" s="1" t="s">
        <v>2333</v>
      </c>
      <c r="F474" s="196"/>
      <c r="G474" s="196"/>
      <c r="H474" s="196"/>
    </row>
    <row r="475" spans="1:8" x14ac:dyDescent="0.2">
      <c r="A475" s="1" t="s">
        <v>2334</v>
      </c>
      <c r="F475" s="196"/>
      <c r="G475" s="196"/>
      <c r="H475" s="196"/>
    </row>
    <row r="476" spans="1:8" x14ac:dyDescent="0.2">
      <c r="A476" s="1" t="s">
        <v>2335</v>
      </c>
      <c r="F476" s="196"/>
      <c r="G476" s="196"/>
      <c r="H476" s="196"/>
    </row>
    <row r="477" spans="1:8" x14ac:dyDescent="0.2">
      <c r="A477" s="1" t="s">
        <v>2336</v>
      </c>
      <c r="F477" s="196"/>
      <c r="G477" s="196"/>
      <c r="H477" s="196"/>
    </row>
    <row r="478" spans="1:8" x14ac:dyDescent="0.2">
      <c r="F478" s="196"/>
      <c r="G478" s="196"/>
      <c r="H478" s="196"/>
    </row>
    <row r="479" spans="1:8" x14ac:dyDescent="0.2">
      <c r="A479" s="156" t="s">
        <v>2191</v>
      </c>
      <c r="F479" s="196"/>
      <c r="G479" s="196"/>
      <c r="H479" s="196"/>
    </row>
    <row r="480" spans="1:8" x14ac:dyDescent="0.2">
      <c r="A480" s="96" t="s">
        <v>2339</v>
      </c>
      <c r="F480" s="196"/>
      <c r="G480" s="196"/>
      <c r="H480" s="196"/>
    </row>
    <row r="481" spans="1:8" x14ac:dyDescent="0.2">
      <c r="A481" s="96" t="s">
        <v>2340</v>
      </c>
      <c r="F481" s="196"/>
      <c r="G481" s="196"/>
      <c r="H481" s="196"/>
    </row>
    <row r="482" spans="1:8" x14ac:dyDescent="0.2">
      <c r="C482" s="96"/>
      <c r="D482" s="177">
        <f>98000-7000*(1+F444)^-4</f>
        <v>92642.720960922161</v>
      </c>
      <c r="E482" s="96"/>
      <c r="F482" s="169" t="s">
        <v>2192</v>
      </c>
      <c r="G482" s="169"/>
      <c r="H482" s="196"/>
    </row>
    <row r="483" spans="1:8" x14ac:dyDescent="0.2">
      <c r="F483" s="196"/>
      <c r="G483" s="196"/>
      <c r="H483" s="196"/>
    </row>
    <row r="484" spans="1:8" x14ac:dyDescent="0.2">
      <c r="F484" s="196"/>
      <c r="G484" s="196"/>
      <c r="H484" s="196"/>
    </row>
    <row r="485" spans="1:8" x14ac:dyDescent="0.2">
      <c r="E485" s="1" t="s">
        <v>2343</v>
      </c>
      <c r="F485" s="196"/>
      <c r="G485" s="169" t="s">
        <v>2341</v>
      </c>
      <c r="H485" s="196"/>
    </row>
    <row r="486" spans="1:8" x14ac:dyDescent="0.2">
      <c r="E486" s="1" t="s">
        <v>2344</v>
      </c>
      <c r="F486" s="196"/>
      <c r="G486" s="169" t="s">
        <v>2229</v>
      </c>
      <c r="H486" s="196"/>
    </row>
    <row r="487" spans="1:8" x14ac:dyDescent="0.2">
      <c r="E487" s="1" t="s">
        <v>2345</v>
      </c>
      <c r="F487" s="196"/>
      <c r="G487" s="169" t="s">
        <v>2342</v>
      </c>
      <c r="H487" s="196"/>
    </row>
    <row r="488" spans="1:8" x14ac:dyDescent="0.2">
      <c r="E488" s="1" t="s">
        <v>2346</v>
      </c>
      <c r="F488" s="196"/>
      <c r="G488" s="196"/>
      <c r="H488" s="196"/>
    </row>
    <row r="489" spans="1:8" x14ac:dyDescent="0.2">
      <c r="E489" s="1" t="s">
        <v>2347</v>
      </c>
      <c r="F489" s="196"/>
      <c r="G489" s="196"/>
      <c r="H489" s="196"/>
    </row>
    <row r="490" spans="1:8" x14ac:dyDescent="0.2">
      <c r="E490" s="1" t="s">
        <v>2348</v>
      </c>
      <c r="F490" s="196"/>
      <c r="G490" s="196"/>
      <c r="H490" s="196"/>
    </row>
    <row r="491" spans="1:8" x14ac:dyDescent="0.2">
      <c r="F491" s="196"/>
      <c r="G491" s="196"/>
      <c r="H491" s="196"/>
    </row>
    <row r="492" spans="1:8" x14ac:dyDescent="0.2">
      <c r="A492" s="156" t="s">
        <v>2135</v>
      </c>
    </row>
    <row r="493" spans="1:8" x14ac:dyDescent="0.2">
      <c r="A493" s="156"/>
      <c r="C493" s="15">
        <v>43830</v>
      </c>
      <c r="D493" s="15">
        <v>43465</v>
      </c>
      <c r="E493" s="15">
        <v>43100</v>
      </c>
    </row>
    <row r="494" spans="1:8" s="96" customFormat="1" x14ac:dyDescent="0.2">
      <c r="C494" s="223">
        <f>C444</f>
        <v>6.9149514556687178E-2</v>
      </c>
      <c r="D494" s="223">
        <f>D444</f>
        <v>6.9149514556687178E-2</v>
      </c>
      <c r="E494" s="223">
        <f>F444</f>
        <v>6.9149514556687178E-2</v>
      </c>
      <c r="F494" s="96" t="s">
        <v>1267</v>
      </c>
    </row>
    <row r="495" spans="1:8" x14ac:dyDescent="0.2">
      <c r="C495" s="165">
        <v>3</v>
      </c>
      <c r="D495" s="165">
        <v>2</v>
      </c>
      <c r="E495" s="165">
        <v>1</v>
      </c>
      <c r="F495" s="1" t="s">
        <v>1821</v>
      </c>
    </row>
    <row r="496" spans="1:8" x14ac:dyDescent="0.2">
      <c r="C496" s="165">
        <v>3</v>
      </c>
      <c r="D496" s="165">
        <v>3</v>
      </c>
      <c r="E496" s="165">
        <v>3</v>
      </c>
      <c r="F496" s="1" t="s">
        <v>1268</v>
      </c>
      <c r="G496" s="1" t="s">
        <v>2319</v>
      </c>
    </row>
    <row r="497" spans="1:8" x14ac:dyDescent="0.2">
      <c r="C497" s="173">
        <f>D497</f>
        <v>-84988.832938099542</v>
      </c>
      <c r="D497" s="173">
        <f>E497</f>
        <v>-84988.832938099542</v>
      </c>
      <c r="E497" s="173">
        <f>D447</f>
        <v>-84988.832938099542</v>
      </c>
      <c r="F497" s="1" t="s">
        <v>1726</v>
      </c>
      <c r="G497" s="1" t="s">
        <v>2318</v>
      </c>
    </row>
    <row r="498" spans="1:8" x14ac:dyDescent="0.2">
      <c r="C498" s="173">
        <f>C448</f>
        <v>7500</v>
      </c>
      <c r="D498" s="173">
        <f>D448</f>
        <v>7500</v>
      </c>
      <c r="E498" s="173">
        <v>7500</v>
      </c>
      <c r="F498" s="1" t="s">
        <v>1727</v>
      </c>
      <c r="G498" s="1" t="s">
        <v>2317</v>
      </c>
    </row>
    <row r="499" spans="1:8" x14ac:dyDescent="0.2">
      <c r="C499" s="174">
        <f t="shared" ref="C499:D499" si="7">PPMT(C494,C495,C496,C497,C498)</f>
        <v>27574.6078910666</v>
      </c>
      <c r="D499" s="174">
        <f t="shared" si="7"/>
        <v>25791.161587441915</v>
      </c>
      <c r="E499" s="174">
        <f>PPMT(E494,E495,E496,E497,E498)</f>
        <v>24123.063459591034</v>
      </c>
      <c r="F499" s="1" t="s">
        <v>2136</v>
      </c>
    </row>
    <row r="500" spans="1:8" x14ac:dyDescent="0.2">
      <c r="F500" s="196"/>
      <c r="G500" s="196"/>
      <c r="H500" s="196"/>
    </row>
    <row r="501" spans="1:8" x14ac:dyDescent="0.2">
      <c r="A501" s="1" t="s">
        <v>2320</v>
      </c>
      <c r="F501" s="196"/>
      <c r="G501" s="196"/>
      <c r="H501" s="196"/>
    </row>
    <row r="502" spans="1:8" x14ac:dyDescent="0.2">
      <c r="A502" s="1" t="s">
        <v>2321</v>
      </c>
      <c r="F502" s="196"/>
      <c r="G502" s="196"/>
      <c r="H502" s="196"/>
    </row>
    <row r="503" spans="1:8" x14ac:dyDescent="0.2">
      <c r="F503" s="196"/>
      <c r="G503" s="196"/>
      <c r="H503" s="196"/>
    </row>
    <row r="504" spans="1:8" x14ac:dyDescent="0.2">
      <c r="A504" s="1" t="s">
        <v>2322</v>
      </c>
      <c r="F504" s="196"/>
      <c r="G504" s="196"/>
      <c r="H504" s="196"/>
    </row>
    <row r="505" spans="1:8" x14ac:dyDescent="0.2">
      <c r="A505" s="1" t="s">
        <v>2323</v>
      </c>
      <c r="F505" s="196"/>
      <c r="G505" s="196"/>
      <c r="H505" s="196"/>
    </row>
    <row r="506" spans="1:8" x14ac:dyDescent="0.2">
      <c r="F506" s="196"/>
      <c r="G506" s="196"/>
      <c r="H506" s="196"/>
    </row>
    <row r="507" spans="1:8" x14ac:dyDescent="0.2">
      <c r="A507" s="156" t="s">
        <v>2129</v>
      </c>
    </row>
    <row r="509" spans="1:8" x14ac:dyDescent="0.2">
      <c r="B509" s="16" t="s">
        <v>120</v>
      </c>
      <c r="C509" s="16" t="s">
        <v>490</v>
      </c>
      <c r="D509" s="16"/>
      <c r="E509" s="9" t="s">
        <v>2130</v>
      </c>
    </row>
    <row r="510" spans="1:8" s="96" customFormat="1" x14ac:dyDescent="0.2">
      <c r="B510" s="193">
        <v>42736</v>
      </c>
      <c r="C510" s="96" t="s">
        <v>2131</v>
      </c>
      <c r="E510" s="169">
        <f>-F447</f>
        <v>109465</v>
      </c>
    </row>
    <row r="511" spans="1:8" s="96" customFormat="1" x14ac:dyDescent="0.2">
      <c r="B511" s="96">
        <v>2017</v>
      </c>
      <c r="C511" s="96" t="s">
        <v>2133</v>
      </c>
      <c r="E511" s="169">
        <f>-F446</f>
        <v>-30000</v>
      </c>
    </row>
    <row r="512" spans="1:8" x14ac:dyDescent="0.2">
      <c r="B512" s="1">
        <v>2017</v>
      </c>
      <c r="C512" s="1" t="s">
        <v>2194</v>
      </c>
      <c r="E512" s="169">
        <f>E447-D447</f>
        <v>-2045.6186728481407</v>
      </c>
      <c r="F512" s="1" t="s">
        <v>2328</v>
      </c>
    </row>
    <row r="513" spans="1:6" x14ac:dyDescent="0.2">
      <c r="B513" s="1">
        <v>2017</v>
      </c>
      <c r="C513" s="1" t="s">
        <v>2134</v>
      </c>
      <c r="E513" s="171">
        <f>E514-E510-E511-E512</f>
        <v>7569.4516109476826</v>
      </c>
      <c r="F513" s="1" t="s">
        <v>2329</v>
      </c>
    </row>
    <row r="514" spans="1:6" s="96" customFormat="1" x14ac:dyDescent="0.2">
      <c r="B514" s="193">
        <v>43100</v>
      </c>
      <c r="C514" s="96" t="s">
        <v>2131</v>
      </c>
      <c r="E514" s="210">
        <f>-D447</f>
        <v>84988.832938099542</v>
      </c>
      <c r="F514" s="96" t="s">
        <v>2330</v>
      </c>
    </row>
    <row r="515" spans="1:6" s="96" customFormat="1" x14ac:dyDescent="0.2">
      <c r="B515" s="96">
        <v>2018</v>
      </c>
      <c r="C515" s="96" t="s">
        <v>2133</v>
      </c>
      <c r="E515" s="169">
        <v>-30000</v>
      </c>
    </row>
    <row r="516" spans="1:6" s="96" customFormat="1" x14ac:dyDescent="0.2">
      <c r="B516" s="96">
        <v>2018</v>
      </c>
      <c r="C516" s="96" t="s">
        <v>2134</v>
      </c>
      <c r="E516" s="169">
        <f>E517-E515-E514</f>
        <v>5876.9365404089331</v>
      </c>
    </row>
    <row r="517" spans="1:6" s="96" customFormat="1" x14ac:dyDescent="0.2">
      <c r="B517" s="193">
        <v>43465</v>
      </c>
      <c r="C517" s="96" t="s">
        <v>2131</v>
      </c>
      <c r="E517" s="210">
        <f>-C447</f>
        <v>60865.769478508475</v>
      </c>
    </row>
    <row r="518" spans="1:6" s="96" customFormat="1" x14ac:dyDescent="0.2">
      <c r="B518" s="96">
        <v>2019</v>
      </c>
      <c r="C518" s="96" t="s">
        <v>2133</v>
      </c>
      <c r="E518" s="169">
        <v>-30000</v>
      </c>
    </row>
    <row r="519" spans="1:6" s="96" customFormat="1" x14ac:dyDescent="0.2">
      <c r="B519" s="96">
        <v>2019</v>
      </c>
      <c r="C519" s="96" t="s">
        <v>2134</v>
      </c>
      <c r="E519" s="169">
        <f>E520-E518-E517</f>
        <v>4208.8384125581142</v>
      </c>
    </row>
    <row r="520" spans="1:6" s="96" customFormat="1" x14ac:dyDescent="0.2">
      <c r="B520" s="193">
        <v>43830</v>
      </c>
      <c r="C520" s="96" t="s">
        <v>2131</v>
      </c>
      <c r="E520" s="210">
        <f>-B447</f>
        <v>35074.607891066589</v>
      </c>
    </row>
    <row r="521" spans="1:6" s="96" customFormat="1" x14ac:dyDescent="0.2">
      <c r="B521" s="96">
        <v>2020</v>
      </c>
      <c r="C521" s="96" t="s">
        <v>2133</v>
      </c>
      <c r="E521" s="169">
        <v>-37500</v>
      </c>
      <c r="F521" s="96" t="s">
        <v>2193</v>
      </c>
    </row>
    <row r="522" spans="1:6" s="96" customFormat="1" x14ac:dyDescent="0.2">
      <c r="B522" s="96">
        <v>2020</v>
      </c>
      <c r="C522" s="96" t="s">
        <v>2134</v>
      </c>
      <c r="E522" s="169">
        <f>E523-E521-E520</f>
        <v>2425.3921089334108</v>
      </c>
    </row>
    <row r="523" spans="1:6" s="96" customFormat="1" x14ac:dyDescent="0.2">
      <c r="B523" s="193">
        <v>43830</v>
      </c>
      <c r="C523" s="96" t="s">
        <v>2131</v>
      </c>
      <c r="E523" s="210">
        <f>-B492</f>
        <v>0</v>
      </c>
    </row>
    <row r="524" spans="1:6" s="96" customFormat="1" x14ac:dyDescent="0.2">
      <c r="B524" s="193"/>
      <c r="E524" s="169"/>
    </row>
    <row r="525" spans="1:6" s="96" customFormat="1" x14ac:dyDescent="0.2">
      <c r="A525" s="96" t="s">
        <v>2324</v>
      </c>
      <c r="B525" s="193"/>
      <c r="E525" s="169"/>
    </row>
    <row r="526" spans="1:6" s="96" customFormat="1" x14ac:dyDescent="0.2">
      <c r="A526" s="96" t="s">
        <v>2325</v>
      </c>
      <c r="B526" s="193"/>
      <c r="E526" s="169"/>
    </row>
    <row r="527" spans="1:6" s="96" customFormat="1" x14ac:dyDescent="0.2">
      <c r="A527" s="96" t="s">
        <v>2326</v>
      </c>
      <c r="B527" s="193"/>
      <c r="E527" s="169"/>
    </row>
    <row r="530" spans="1:8" x14ac:dyDescent="0.2">
      <c r="A530" s="156" t="s">
        <v>2137</v>
      </c>
    </row>
    <row r="532" spans="1:8" x14ac:dyDescent="0.2">
      <c r="A532" s="16" t="s">
        <v>1776</v>
      </c>
      <c r="B532" s="16"/>
      <c r="C532" s="16"/>
      <c r="D532" s="15">
        <v>43100</v>
      </c>
      <c r="E532" s="15">
        <v>43465</v>
      </c>
      <c r="F532" s="15">
        <v>43830</v>
      </c>
      <c r="G532" s="15">
        <v>44196</v>
      </c>
    </row>
    <row r="533" spans="1:8" s="96" customFormat="1" x14ac:dyDescent="0.2">
      <c r="A533" s="96" t="s">
        <v>2138</v>
      </c>
      <c r="D533" s="169">
        <f>E499</f>
        <v>24123.063459591034</v>
      </c>
      <c r="E533" s="169">
        <f>D499</f>
        <v>25791.161587441915</v>
      </c>
      <c r="F533" s="169">
        <f>C499</f>
        <v>27574.6078910666</v>
      </c>
      <c r="G533" s="169">
        <v>0</v>
      </c>
    </row>
    <row r="534" spans="1:8" s="96" customFormat="1" x14ac:dyDescent="0.2">
      <c r="A534" s="96" t="s">
        <v>2139</v>
      </c>
      <c r="D534" s="169">
        <f>E514-E499</f>
        <v>60865.769478508504</v>
      </c>
      <c r="E534" s="169">
        <f>E517-D499</f>
        <v>35074.60789106656</v>
      </c>
      <c r="F534" s="169">
        <f>E520-C499</f>
        <v>7499.9999999999891</v>
      </c>
      <c r="G534" s="169">
        <v>0</v>
      </c>
    </row>
    <row r="535" spans="1:8" x14ac:dyDescent="0.2">
      <c r="D535" s="197"/>
      <c r="E535" s="197"/>
      <c r="F535" s="197"/>
      <c r="G535" s="197"/>
    </row>
    <row r="536" spans="1:8" x14ac:dyDescent="0.2">
      <c r="A536" s="1" t="s">
        <v>2141</v>
      </c>
      <c r="D536" s="197"/>
      <c r="E536" s="197"/>
      <c r="F536" s="197"/>
      <c r="G536" s="197"/>
    </row>
    <row r="537" spans="1:8" s="96" customFormat="1" x14ac:dyDescent="0.2">
      <c r="A537" s="96" t="s">
        <v>2157</v>
      </c>
      <c r="D537" s="169">
        <f>C468</f>
        <v>104107.72096092203</v>
      </c>
      <c r="E537" s="165"/>
      <c r="F537" s="165"/>
      <c r="G537" s="165"/>
    </row>
    <row r="538" spans="1:8" s="96" customFormat="1" x14ac:dyDescent="0.2">
      <c r="A538" s="96" t="s">
        <v>2158</v>
      </c>
      <c r="D538" s="169">
        <f>D482</f>
        <v>92642.720960922161</v>
      </c>
      <c r="E538" s="165"/>
      <c r="F538" s="165"/>
      <c r="G538" s="165"/>
    </row>
    <row r="539" spans="1:8" s="96" customFormat="1" x14ac:dyDescent="0.2">
      <c r="A539" s="96" t="s">
        <v>2140</v>
      </c>
      <c r="D539" s="169">
        <f>E513</f>
        <v>7569.4516109476826</v>
      </c>
      <c r="E539" s="169">
        <f>E516</f>
        <v>5876.9365404089331</v>
      </c>
      <c r="F539" s="169">
        <f>E519</f>
        <v>4208.8384125581142</v>
      </c>
      <c r="G539" s="169">
        <f>E522</f>
        <v>2425.3921089334108</v>
      </c>
    </row>
    <row r="540" spans="1:8" s="96" customFormat="1" x14ac:dyDescent="0.2">
      <c r="A540" s="96" t="s">
        <v>2194</v>
      </c>
      <c r="D540" s="169">
        <f>-E512</f>
        <v>2045.6186728481407</v>
      </c>
    </row>
    <row r="543" spans="1:8" x14ac:dyDescent="0.2">
      <c r="A543" s="6" t="s">
        <v>2200</v>
      </c>
      <c r="B543" s="6"/>
      <c r="C543" s="6"/>
      <c r="D543" s="6"/>
      <c r="E543" s="6"/>
      <c r="F543" s="6"/>
      <c r="G543" s="6"/>
      <c r="H543" s="6"/>
    </row>
    <row r="545" spans="1:8" x14ac:dyDescent="0.2">
      <c r="A545" s="16" t="s">
        <v>425</v>
      </c>
      <c r="B545" s="16"/>
      <c r="C545" s="16" t="s">
        <v>2198</v>
      </c>
      <c r="D545" s="16" t="s">
        <v>2349</v>
      </c>
      <c r="E545" s="16" t="s">
        <v>2350</v>
      </c>
      <c r="F545" s="16"/>
      <c r="G545" s="16"/>
      <c r="H545" s="16"/>
    </row>
    <row r="546" spans="1:8" x14ac:dyDescent="0.2">
      <c r="A546" s="1" t="s">
        <v>2197</v>
      </c>
      <c r="C546" s="42">
        <v>0.25</v>
      </c>
      <c r="D546" s="1" t="s">
        <v>417</v>
      </c>
      <c r="E546" s="1" t="s">
        <v>2351</v>
      </c>
    </row>
    <row r="547" spans="1:8" x14ac:dyDescent="0.2">
      <c r="A547" s="1" t="s">
        <v>2199</v>
      </c>
      <c r="C547" s="42">
        <v>0.25</v>
      </c>
      <c r="D547" s="1" t="s">
        <v>417</v>
      </c>
      <c r="E547" s="1" t="s">
        <v>2352</v>
      </c>
    </row>
    <row r="548" spans="1:8" x14ac:dyDescent="0.2">
      <c r="A548" s="1" t="s">
        <v>2354</v>
      </c>
      <c r="C548" s="42">
        <v>0.25</v>
      </c>
      <c r="D548" s="1" t="s">
        <v>420</v>
      </c>
      <c r="E548" s="1" t="s">
        <v>2355</v>
      </c>
    </row>
    <row r="549" spans="1:8" x14ac:dyDescent="0.2">
      <c r="A549" s="1" t="s">
        <v>6</v>
      </c>
      <c r="C549" s="42">
        <v>0.25</v>
      </c>
      <c r="D549" s="1" t="s">
        <v>420</v>
      </c>
      <c r="E549" s="1" t="s">
        <v>2353</v>
      </c>
    </row>
  </sheetData>
  <mergeCells count="1">
    <mergeCell ref="F362:G363"/>
  </mergeCells>
  <pageMargins left="0.7" right="0.7" top="0.75" bottom="0.75" header="0.3" footer="0.3"/>
  <pageSetup paperSize="9" orientation="portrait" horizontalDpi="0" verticalDpi="0"/>
  <ignoredErrors>
    <ignoredError sqref="D223 D309 D367 D444 D446" formula="1"/>
  </ignoredErrors>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14620C-0012-3543-922E-59E0E880D18F}">
  <dimension ref="A1:K352"/>
  <sheetViews>
    <sheetView rightToLeft="1" topLeftCell="A31" zoomScale="400" workbookViewId="0">
      <selection activeCell="C9" sqref="C9"/>
    </sheetView>
  </sheetViews>
  <sheetFormatPr baseColWidth="10" defaultRowHeight="16" x14ac:dyDescent="0.2"/>
  <cols>
    <col min="1" max="16384" width="10.83203125" style="1"/>
  </cols>
  <sheetData>
    <row r="1" spans="1:8" x14ac:dyDescent="0.2">
      <c r="A1" s="6" t="s">
        <v>14</v>
      </c>
      <c r="B1" s="6"/>
      <c r="C1" s="6"/>
      <c r="D1" s="6"/>
      <c r="E1" s="6"/>
      <c r="F1" s="6"/>
      <c r="G1" s="6"/>
      <c r="H1" s="6" t="s">
        <v>7</v>
      </c>
    </row>
    <row r="3" spans="1:8" x14ac:dyDescent="0.2">
      <c r="A3" s="4" t="s">
        <v>38</v>
      </c>
      <c r="B3" s="5"/>
      <c r="C3" s="5"/>
      <c r="D3" s="5"/>
      <c r="E3" s="5"/>
      <c r="F3" s="5"/>
      <c r="G3" s="5"/>
      <c r="H3" s="5"/>
    </row>
    <row r="4" spans="1:8" x14ac:dyDescent="0.2">
      <c r="A4" s="1" t="s">
        <v>15</v>
      </c>
    </row>
    <row r="5" spans="1:8" x14ac:dyDescent="0.2">
      <c r="A5" s="1" t="s">
        <v>16</v>
      </c>
    </row>
    <row r="6" spans="1:8" x14ac:dyDescent="0.2">
      <c r="A6" s="1" t="s">
        <v>17</v>
      </c>
    </row>
    <row r="7" spans="1:8" x14ac:dyDescent="0.2">
      <c r="A7" s="1" t="s">
        <v>2358</v>
      </c>
    </row>
    <row r="8" spans="1:8" x14ac:dyDescent="0.2">
      <c r="A8" s="1" t="s">
        <v>2359</v>
      </c>
    </row>
    <row r="10" spans="1:8" x14ac:dyDescent="0.2">
      <c r="A10" s="1" t="s">
        <v>18</v>
      </c>
    </row>
    <row r="12" spans="1:8" x14ac:dyDescent="0.2">
      <c r="A12" s="1" t="s">
        <v>2360</v>
      </c>
    </row>
    <row r="13" spans="1:8" x14ac:dyDescent="0.2">
      <c r="A13" s="1" t="s">
        <v>19</v>
      </c>
    </row>
    <row r="15" spans="1:8" x14ac:dyDescent="0.2">
      <c r="A15" s="1" t="s">
        <v>2361</v>
      </c>
    </row>
    <row r="16" spans="1:8" x14ac:dyDescent="0.2">
      <c r="A16" s="1" t="s">
        <v>20</v>
      </c>
    </row>
    <row r="17" spans="1:8" ht="17" thickBot="1" x14ac:dyDescent="0.25"/>
    <row r="18" spans="1:8" x14ac:dyDescent="0.2">
      <c r="A18" s="53" t="s">
        <v>2362</v>
      </c>
      <c r="B18" s="23"/>
      <c r="C18" s="23"/>
      <c r="D18" s="23"/>
      <c r="E18" s="23"/>
      <c r="F18" s="23"/>
      <c r="G18" s="23"/>
      <c r="H18" s="35"/>
    </row>
    <row r="19" spans="1:8" x14ac:dyDescent="0.2">
      <c r="A19" s="26" t="s">
        <v>2363</v>
      </c>
      <c r="H19" s="36"/>
    </row>
    <row r="20" spans="1:8" x14ac:dyDescent="0.2">
      <c r="A20" s="26" t="s">
        <v>21</v>
      </c>
      <c r="H20" s="36"/>
    </row>
    <row r="21" spans="1:8" ht="17" thickBot="1" x14ac:dyDescent="0.25">
      <c r="A21" s="28" t="s">
        <v>22</v>
      </c>
      <c r="B21" s="29"/>
      <c r="C21" s="29"/>
      <c r="D21" s="29"/>
      <c r="E21" s="29"/>
      <c r="F21" s="29"/>
      <c r="G21" s="29"/>
      <c r="H21" s="37"/>
    </row>
    <row r="22" spans="1:8" ht="17" thickBot="1" x14ac:dyDescent="0.25"/>
    <row r="23" spans="1:8" x14ac:dyDescent="0.2">
      <c r="A23" s="53" t="s">
        <v>52</v>
      </c>
      <c r="B23" s="23"/>
      <c r="C23" s="23"/>
      <c r="D23" s="23"/>
      <c r="E23" s="23"/>
      <c r="F23" s="23"/>
      <c r="G23" s="23"/>
      <c r="H23" s="35"/>
    </row>
    <row r="24" spans="1:8" x14ac:dyDescent="0.2">
      <c r="A24" s="26" t="s">
        <v>53</v>
      </c>
      <c r="H24" s="36"/>
    </row>
    <row r="25" spans="1:8" ht="17" thickBot="1" x14ac:dyDescent="0.25">
      <c r="A25" s="28" t="s">
        <v>54</v>
      </c>
      <c r="B25" s="29"/>
      <c r="C25" s="29"/>
      <c r="D25" s="29"/>
      <c r="E25" s="29"/>
      <c r="F25" s="29"/>
      <c r="G25" s="29"/>
      <c r="H25" s="37"/>
    </row>
    <row r="27" spans="1:8" x14ac:dyDescent="0.2">
      <c r="A27" s="1" t="s">
        <v>23</v>
      </c>
    </row>
    <row r="28" spans="1:8" x14ac:dyDescent="0.2">
      <c r="A28" s="1" t="s">
        <v>24</v>
      </c>
    </row>
    <row r="29" spans="1:8" x14ac:dyDescent="0.2">
      <c r="A29" s="1" t="s">
        <v>25</v>
      </c>
    </row>
    <row r="30" spans="1:8" x14ac:dyDescent="0.2">
      <c r="A30" s="1" t="s">
        <v>26</v>
      </c>
    </row>
    <row r="31" spans="1:8" x14ac:dyDescent="0.2">
      <c r="A31" s="1" t="s">
        <v>27</v>
      </c>
    </row>
    <row r="33" spans="1:9" x14ac:dyDescent="0.2">
      <c r="A33" s="1" t="s">
        <v>28</v>
      </c>
    </row>
    <row r="34" spans="1:9" x14ac:dyDescent="0.2">
      <c r="A34" s="1" t="s">
        <v>29</v>
      </c>
    </row>
    <row r="36" spans="1:9" x14ac:dyDescent="0.2">
      <c r="H36" s="1" t="s">
        <v>55</v>
      </c>
    </row>
    <row r="37" spans="1:9" x14ac:dyDescent="0.2">
      <c r="A37" s="7">
        <v>46022</v>
      </c>
      <c r="B37" s="7">
        <v>46022</v>
      </c>
      <c r="C37" s="7">
        <v>45657</v>
      </c>
      <c r="D37" s="7">
        <v>45291</v>
      </c>
      <c r="E37" s="7">
        <v>44926</v>
      </c>
      <c r="F37" s="7">
        <v>44561</v>
      </c>
      <c r="G37" s="7">
        <v>44196</v>
      </c>
      <c r="H37" s="7">
        <v>43831</v>
      </c>
    </row>
    <row r="38" spans="1:9" x14ac:dyDescent="0.2">
      <c r="A38" s="157">
        <f>B38-10000</f>
        <v>30000</v>
      </c>
      <c r="B38" s="157">
        <f>C38-10000</f>
        <v>40000</v>
      </c>
      <c r="C38" s="157">
        <f>D38-10000</f>
        <v>50000</v>
      </c>
      <c r="D38" s="157">
        <f>E38-10000</f>
        <v>60000</v>
      </c>
      <c r="E38" s="157">
        <f>F38-10000</f>
        <v>70000</v>
      </c>
      <c r="F38" s="157">
        <v>80000</v>
      </c>
      <c r="G38" s="157">
        <v>90000</v>
      </c>
      <c r="H38" s="157">
        <v>100000</v>
      </c>
      <c r="I38" s="1" t="s">
        <v>57</v>
      </c>
    </row>
    <row r="39" spans="1:9" x14ac:dyDescent="0.2">
      <c r="A39" s="96">
        <v>0</v>
      </c>
      <c r="B39" s="96">
        <v>0</v>
      </c>
      <c r="C39" s="157">
        <f>D39-20000</f>
        <v>0</v>
      </c>
      <c r="D39" s="157">
        <f>E39-20000</f>
        <v>20000</v>
      </c>
      <c r="E39" s="157">
        <f>F39-20000</f>
        <v>40000</v>
      </c>
      <c r="F39" s="157">
        <v>60000</v>
      </c>
      <c r="G39" s="157">
        <v>80000</v>
      </c>
      <c r="H39" s="157">
        <f>H38</f>
        <v>100000</v>
      </c>
      <c r="I39" s="1" t="s">
        <v>56</v>
      </c>
    </row>
    <row r="40" spans="1:9" x14ac:dyDescent="0.2">
      <c r="A40" s="157">
        <f t="shared" ref="A40:G40" si="0">A38-A39</f>
        <v>30000</v>
      </c>
      <c r="B40" s="157">
        <f t="shared" si="0"/>
        <v>40000</v>
      </c>
      <c r="C40" s="157">
        <f t="shared" si="0"/>
        <v>50000</v>
      </c>
      <c r="D40" s="157">
        <f t="shared" si="0"/>
        <v>40000</v>
      </c>
      <c r="E40" s="157">
        <f t="shared" si="0"/>
        <v>30000</v>
      </c>
      <c r="F40" s="157">
        <f t="shared" si="0"/>
        <v>20000</v>
      </c>
      <c r="G40" s="157">
        <f t="shared" si="0"/>
        <v>10000</v>
      </c>
      <c r="H40" s="157">
        <f>H38-H39</f>
        <v>0</v>
      </c>
      <c r="I40" s="1" t="s">
        <v>58</v>
      </c>
    </row>
    <row r="43" spans="1:9" x14ac:dyDescent="0.2">
      <c r="A43" s="1" t="s">
        <v>2364</v>
      </c>
    </row>
    <row r="44" spans="1:9" x14ac:dyDescent="0.2">
      <c r="A44" s="1" t="s">
        <v>2365</v>
      </c>
    </row>
    <row r="46" spans="1:9" x14ac:dyDescent="0.2">
      <c r="A46" s="1" t="s">
        <v>2366</v>
      </c>
    </row>
    <row r="47" spans="1:9" x14ac:dyDescent="0.2">
      <c r="A47" s="1" t="s">
        <v>59</v>
      </c>
    </row>
    <row r="48" spans="1:9" x14ac:dyDescent="0.2">
      <c r="A48" s="1" t="s">
        <v>30</v>
      </c>
    </row>
    <row r="49" spans="1:9" x14ac:dyDescent="0.2">
      <c r="A49" s="1" t="s">
        <v>2367</v>
      </c>
    </row>
    <row r="50" spans="1:9" x14ac:dyDescent="0.2">
      <c r="A50" s="1" t="s">
        <v>60</v>
      </c>
    </row>
    <row r="51" spans="1:9" ht="17" thickBot="1" x14ac:dyDescent="0.25"/>
    <row r="52" spans="1:9" x14ac:dyDescent="0.2">
      <c r="A52" s="22" t="s">
        <v>61</v>
      </c>
      <c r="B52" s="23"/>
      <c r="C52" s="23"/>
      <c r="D52" s="23"/>
      <c r="E52" s="23"/>
      <c r="F52" s="23"/>
      <c r="G52" s="23"/>
      <c r="H52" s="23"/>
      <c r="I52" s="35"/>
    </row>
    <row r="53" spans="1:9" ht="17" thickBot="1" x14ac:dyDescent="0.25">
      <c r="A53" s="125" t="s">
        <v>62</v>
      </c>
      <c r="B53" s="29"/>
      <c r="C53" s="29"/>
      <c r="D53" s="29"/>
      <c r="E53" s="29"/>
      <c r="F53" s="29"/>
      <c r="G53" s="29"/>
      <c r="H53" s="29"/>
      <c r="I53" s="37"/>
    </row>
    <row r="54" spans="1:9" ht="17" thickBot="1" x14ac:dyDescent="0.25"/>
    <row r="55" spans="1:9" x14ac:dyDescent="0.2">
      <c r="A55" s="53" t="s">
        <v>2368</v>
      </c>
      <c r="B55" s="23"/>
      <c r="C55" s="23"/>
      <c r="D55" s="23"/>
      <c r="E55" s="23"/>
      <c r="F55" s="23"/>
      <c r="G55" s="23"/>
      <c r="H55" s="23"/>
      <c r="I55" s="35"/>
    </row>
    <row r="56" spans="1:9" x14ac:dyDescent="0.2">
      <c r="A56" s="26" t="s">
        <v>31</v>
      </c>
      <c r="I56" s="36"/>
    </row>
    <row r="57" spans="1:9" x14ac:dyDescent="0.2">
      <c r="A57" s="26" t="s">
        <v>32</v>
      </c>
      <c r="I57" s="36"/>
    </row>
    <row r="58" spans="1:9" ht="17" thickBot="1" x14ac:dyDescent="0.25">
      <c r="A58" s="28" t="s">
        <v>33</v>
      </c>
      <c r="B58" s="29"/>
      <c r="C58" s="29"/>
      <c r="D58" s="29"/>
      <c r="E58" s="29"/>
      <c r="F58" s="29"/>
      <c r="G58" s="29"/>
      <c r="H58" s="29"/>
      <c r="I58" s="37"/>
    </row>
    <row r="59" spans="1:9" ht="17" thickBot="1" x14ac:dyDescent="0.25"/>
    <row r="60" spans="1:9" x14ac:dyDescent="0.2">
      <c r="A60" s="53" t="s">
        <v>34</v>
      </c>
      <c r="B60" s="23"/>
      <c r="C60" s="23"/>
      <c r="D60" s="23"/>
      <c r="E60" s="23"/>
      <c r="F60" s="23"/>
      <c r="G60" s="23"/>
      <c r="H60" s="23"/>
      <c r="I60" s="35"/>
    </row>
    <row r="61" spans="1:9" x14ac:dyDescent="0.2">
      <c r="A61" s="26" t="s">
        <v>35</v>
      </c>
      <c r="I61" s="36"/>
    </row>
    <row r="62" spans="1:9" x14ac:dyDescent="0.2">
      <c r="A62" s="26" t="s">
        <v>36</v>
      </c>
      <c r="I62" s="36"/>
    </row>
    <row r="63" spans="1:9" ht="17" thickBot="1" x14ac:dyDescent="0.25">
      <c r="A63" s="28" t="s">
        <v>37</v>
      </c>
      <c r="B63" s="29"/>
      <c r="C63" s="29"/>
      <c r="D63" s="29"/>
      <c r="E63" s="29"/>
      <c r="F63" s="29"/>
      <c r="G63" s="29"/>
      <c r="H63" s="29"/>
      <c r="I63" s="37"/>
    </row>
    <row r="65" spans="1:8" x14ac:dyDescent="0.2">
      <c r="A65" s="4" t="s">
        <v>39</v>
      </c>
      <c r="B65" s="5"/>
      <c r="C65" s="5"/>
      <c r="D65" s="5"/>
      <c r="E65" s="5"/>
      <c r="F65" s="5"/>
      <c r="G65" s="5"/>
      <c r="H65" s="5"/>
    </row>
    <row r="66" spans="1:8" x14ac:dyDescent="0.2">
      <c r="A66" s="1" t="s">
        <v>40</v>
      </c>
    </row>
    <row r="67" spans="1:8" x14ac:dyDescent="0.2">
      <c r="A67" s="1" t="s">
        <v>41</v>
      </c>
    </row>
    <row r="68" spans="1:8" x14ac:dyDescent="0.2">
      <c r="A68" s="1" t="s">
        <v>42</v>
      </c>
    </row>
    <row r="69" spans="1:8" x14ac:dyDescent="0.2">
      <c r="A69" s="1" t="s">
        <v>43</v>
      </c>
    </row>
    <row r="70" spans="1:8" x14ac:dyDescent="0.2">
      <c r="A70" s="1" t="s">
        <v>2372</v>
      </c>
    </row>
    <row r="71" spans="1:8" x14ac:dyDescent="0.2">
      <c r="A71" s="1" t="s">
        <v>44</v>
      </c>
    </row>
    <row r="73" spans="1:8" x14ac:dyDescent="0.2">
      <c r="A73" s="1" t="s">
        <v>45</v>
      </c>
    </row>
    <row r="74" spans="1:8" x14ac:dyDescent="0.2">
      <c r="A74" s="1" t="s">
        <v>46</v>
      </c>
    </row>
    <row r="75" spans="1:8" hidden="1" x14ac:dyDescent="0.2">
      <c r="A75" s="1" t="s">
        <v>47</v>
      </c>
    </row>
    <row r="76" spans="1:8" hidden="1" x14ac:dyDescent="0.2">
      <c r="A76" s="1" t="s">
        <v>48</v>
      </c>
    </row>
    <row r="77" spans="1:8" hidden="1" x14ac:dyDescent="0.2">
      <c r="A77" s="1" t="s">
        <v>49</v>
      </c>
    </row>
    <row r="78" spans="1:8" hidden="1" x14ac:dyDescent="0.2">
      <c r="A78" s="1" t="s">
        <v>50</v>
      </c>
    </row>
    <row r="79" spans="1:8" hidden="1" x14ac:dyDescent="0.2">
      <c r="A79" s="1" t="s">
        <v>51</v>
      </c>
    </row>
    <row r="81" spans="1:7" x14ac:dyDescent="0.2">
      <c r="A81" s="3" t="s">
        <v>46</v>
      </c>
    </row>
    <row r="82" spans="1:7" x14ac:dyDescent="0.2">
      <c r="A82" s="3"/>
    </row>
    <row r="83" spans="1:7" x14ac:dyDescent="0.2">
      <c r="A83" s="1" t="s">
        <v>2369</v>
      </c>
    </row>
    <row r="84" spans="1:7" x14ac:dyDescent="0.2">
      <c r="A84" s="1" t="s">
        <v>2370</v>
      </c>
    </row>
    <row r="85" spans="1:7" x14ac:dyDescent="0.2">
      <c r="A85" s="1" t="s">
        <v>2371</v>
      </c>
    </row>
    <row r="86" spans="1:7" x14ac:dyDescent="0.2">
      <c r="A86" s="3"/>
    </row>
    <row r="87" spans="1:7" x14ac:dyDescent="0.2">
      <c r="F87" s="9">
        <v>2012</v>
      </c>
      <c r="G87" s="9">
        <v>2013</v>
      </c>
    </row>
    <row r="88" spans="1:7" x14ac:dyDescent="0.2">
      <c r="B88" s="1" t="s">
        <v>63</v>
      </c>
      <c r="F88" s="169">
        <v>500000</v>
      </c>
      <c r="G88" s="169">
        <f>F88</f>
        <v>500000</v>
      </c>
    </row>
    <row r="89" spans="1:7" s="96" customFormat="1" x14ac:dyDescent="0.2">
      <c r="B89" s="96" t="s">
        <v>64</v>
      </c>
      <c r="F89" s="169">
        <v>-100000</v>
      </c>
    </row>
    <row r="90" spans="1:7" s="96" customFormat="1" x14ac:dyDescent="0.2">
      <c r="B90" s="96" t="s">
        <v>66</v>
      </c>
      <c r="G90" s="169">
        <f>-F89</f>
        <v>100000</v>
      </c>
    </row>
    <row r="91" spans="1:7" s="96" customFormat="1" x14ac:dyDescent="0.2">
      <c r="B91" s="96" t="s">
        <v>65</v>
      </c>
      <c r="F91" s="210">
        <f>F88+F89</f>
        <v>400000</v>
      </c>
      <c r="G91" s="210">
        <f>G88+G90</f>
        <v>600000</v>
      </c>
    </row>
    <row r="92" spans="1:7" x14ac:dyDescent="0.2">
      <c r="B92" s="96" t="s">
        <v>67</v>
      </c>
      <c r="C92" s="96"/>
      <c r="D92" s="96"/>
      <c r="E92" s="96"/>
      <c r="F92" s="172">
        <v>0.25</v>
      </c>
      <c r="G92" s="172">
        <v>0.25</v>
      </c>
    </row>
    <row r="93" spans="1:7" x14ac:dyDescent="0.2">
      <c r="B93" s="96" t="s">
        <v>68</v>
      </c>
      <c r="C93" s="96"/>
      <c r="D93" s="96"/>
      <c r="E93" s="96"/>
      <c r="F93" s="210">
        <f>F91*F92</f>
        <v>100000</v>
      </c>
      <c r="G93" s="210">
        <f>G91*G92</f>
        <v>150000</v>
      </c>
    </row>
    <row r="95" spans="1:7" x14ac:dyDescent="0.2">
      <c r="A95" s="1" t="s">
        <v>2373</v>
      </c>
    </row>
    <row r="96" spans="1:7" x14ac:dyDescent="0.2">
      <c r="A96" s="1" t="s">
        <v>2374</v>
      </c>
    </row>
    <row r="98" spans="1:7" x14ac:dyDescent="0.2">
      <c r="A98" s="3" t="s">
        <v>47</v>
      </c>
    </row>
    <row r="100" spans="1:7" x14ac:dyDescent="0.2">
      <c r="A100" s="74" t="s">
        <v>2375</v>
      </c>
    </row>
    <row r="101" spans="1:7" x14ac:dyDescent="0.2">
      <c r="B101" s="1" t="s">
        <v>69</v>
      </c>
    </row>
    <row r="102" spans="1:7" x14ac:dyDescent="0.2">
      <c r="B102" s="1" t="s">
        <v>70</v>
      </c>
    </row>
    <row r="103" spans="1:7" x14ac:dyDescent="0.2">
      <c r="B103" s="1" t="s">
        <v>71</v>
      </c>
    </row>
    <row r="104" spans="1:7" x14ac:dyDescent="0.2">
      <c r="B104" s="1" t="s">
        <v>72</v>
      </c>
    </row>
    <row r="105" spans="1:7" x14ac:dyDescent="0.2">
      <c r="B105" s="1" t="s">
        <v>73</v>
      </c>
    </row>
    <row r="106" spans="1:7" x14ac:dyDescent="0.2">
      <c r="B106" s="1" t="s">
        <v>74</v>
      </c>
    </row>
    <row r="107" spans="1:7" x14ac:dyDescent="0.2">
      <c r="B107" s="1" t="s">
        <v>75</v>
      </c>
    </row>
    <row r="109" spans="1:7" x14ac:dyDescent="0.2">
      <c r="D109" s="1" t="s">
        <v>76</v>
      </c>
      <c r="G109" s="14">
        <v>100000</v>
      </c>
    </row>
    <row r="110" spans="1:7" x14ac:dyDescent="0.2">
      <c r="D110" s="1" t="s">
        <v>77</v>
      </c>
      <c r="G110" s="13">
        <v>0.25</v>
      </c>
    </row>
    <row r="111" spans="1:7" x14ac:dyDescent="0.2">
      <c r="D111" s="1" t="s">
        <v>78</v>
      </c>
      <c r="G111" s="12">
        <f>G109*G110</f>
        <v>25000</v>
      </c>
    </row>
    <row r="113" spans="1:8" x14ac:dyDescent="0.2">
      <c r="B113" s="1" t="s">
        <v>79</v>
      </c>
    </row>
    <row r="114" spans="1:8" x14ac:dyDescent="0.2">
      <c r="B114" s="1" t="s">
        <v>80</v>
      </c>
    </row>
    <row r="116" spans="1:8" x14ac:dyDescent="0.2">
      <c r="D116" s="1" t="s">
        <v>81</v>
      </c>
      <c r="G116" s="12">
        <f>G111-G111</f>
        <v>0</v>
      </c>
    </row>
    <row r="118" spans="1:8" x14ac:dyDescent="0.2">
      <c r="A118" s="3" t="s">
        <v>2376</v>
      </c>
    </row>
    <row r="119" spans="1:8" x14ac:dyDescent="0.2">
      <c r="B119" s="1" t="s">
        <v>82</v>
      </c>
    </row>
    <row r="121" spans="1:8" x14ac:dyDescent="0.2">
      <c r="B121" s="1" t="s">
        <v>83</v>
      </c>
      <c r="D121" s="15">
        <v>40909</v>
      </c>
      <c r="E121" s="16"/>
      <c r="F121" s="15">
        <v>41274</v>
      </c>
      <c r="G121" s="16"/>
      <c r="H121" s="15">
        <v>41639</v>
      </c>
    </row>
    <row r="122" spans="1:8" x14ac:dyDescent="0.2">
      <c r="B122" s="1" t="s">
        <v>57</v>
      </c>
      <c r="D122" s="173">
        <v>1000000</v>
      </c>
      <c r="E122" s="96"/>
      <c r="F122" s="173">
        <v>1100000</v>
      </c>
      <c r="G122" s="93"/>
      <c r="H122" s="173">
        <v>0</v>
      </c>
    </row>
    <row r="123" spans="1:8" x14ac:dyDescent="0.2">
      <c r="B123" s="1" t="s">
        <v>56</v>
      </c>
      <c r="D123" s="173">
        <v>1000000</v>
      </c>
      <c r="E123" s="96"/>
      <c r="F123" s="173">
        <v>1000000</v>
      </c>
      <c r="G123" s="96"/>
      <c r="H123" s="173">
        <v>0</v>
      </c>
    </row>
    <row r="124" spans="1:8" x14ac:dyDescent="0.2">
      <c r="B124" s="1" t="s">
        <v>58</v>
      </c>
      <c r="D124" s="210">
        <f>D122-D123</f>
        <v>0</v>
      </c>
      <c r="E124" s="96"/>
      <c r="F124" s="210">
        <f>F122-F123</f>
        <v>100000</v>
      </c>
      <c r="G124" s="96"/>
      <c r="H124" s="210">
        <f>H122-H123</f>
        <v>0</v>
      </c>
    </row>
    <row r="125" spans="1:8" s="96" customFormat="1" x14ac:dyDescent="0.2">
      <c r="B125" s="96" t="s">
        <v>90</v>
      </c>
      <c r="D125" s="172">
        <v>0.25</v>
      </c>
      <c r="E125" s="165" t="s">
        <v>84</v>
      </c>
      <c r="F125" s="172">
        <v>0.25</v>
      </c>
      <c r="G125" s="165" t="s">
        <v>88</v>
      </c>
      <c r="H125" s="172">
        <v>0.25</v>
      </c>
    </row>
    <row r="126" spans="1:8" x14ac:dyDescent="0.2">
      <c r="B126" s="1" t="s">
        <v>91</v>
      </c>
      <c r="D126" s="210">
        <f>D124*D125</f>
        <v>0</v>
      </c>
      <c r="E126" s="165" t="s">
        <v>85</v>
      </c>
      <c r="F126" s="210">
        <f>F124*F125</f>
        <v>25000</v>
      </c>
      <c r="G126" s="165" t="s">
        <v>89</v>
      </c>
      <c r="H126" s="210">
        <f>H124*H125</f>
        <v>0</v>
      </c>
    </row>
    <row r="127" spans="1:8" x14ac:dyDescent="0.2">
      <c r="A127" s="1" t="s">
        <v>91</v>
      </c>
      <c r="B127" s="1" t="s">
        <v>2377</v>
      </c>
      <c r="D127" s="96"/>
      <c r="E127" s="165" t="s">
        <v>86</v>
      </c>
      <c r="F127" s="96"/>
      <c r="G127" s="165" t="s">
        <v>86</v>
      </c>
      <c r="H127" s="93"/>
    </row>
    <row r="128" spans="1:8" x14ac:dyDescent="0.2">
      <c r="D128" s="96"/>
      <c r="E128" s="165" t="s">
        <v>87</v>
      </c>
      <c r="F128" s="96"/>
      <c r="G128" s="165" t="s">
        <v>87</v>
      </c>
      <c r="H128" s="93"/>
    </row>
    <row r="129" spans="1:9" x14ac:dyDescent="0.2">
      <c r="D129" s="96"/>
      <c r="E129" s="169">
        <v>-100000</v>
      </c>
      <c r="F129" s="96"/>
      <c r="G129" s="173">
        <v>100000</v>
      </c>
      <c r="H129" s="93"/>
    </row>
    <row r="130" spans="1:9" x14ac:dyDescent="0.2">
      <c r="D130" s="96"/>
      <c r="E130" s="96"/>
      <c r="F130" s="96"/>
      <c r="G130" s="96"/>
      <c r="H130" s="93"/>
    </row>
    <row r="131" spans="1:9" x14ac:dyDescent="0.2">
      <c r="D131" s="96"/>
      <c r="E131" s="96"/>
      <c r="F131" s="96"/>
      <c r="G131" s="96"/>
      <c r="H131" s="93"/>
    </row>
    <row r="132" spans="1:9" x14ac:dyDescent="0.2">
      <c r="D132" s="96"/>
      <c r="E132" s="96" t="s">
        <v>92</v>
      </c>
      <c r="F132" s="96"/>
      <c r="G132" s="96" t="s">
        <v>95</v>
      </c>
      <c r="H132" s="93"/>
    </row>
    <row r="133" spans="1:9" x14ac:dyDescent="0.2">
      <c r="D133" s="96"/>
      <c r="E133" s="96" t="s">
        <v>93</v>
      </c>
      <c r="F133" s="96"/>
      <c r="G133" s="96" t="s">
        <v>93</v>
      </c>
      <c r="H133" s="93"/>
    </row>
    <row r="134" spans="1:9" s="96" customFormat="1" x14ac:dyDescent="0.2">
      <c r="E134" s="96" t="s">
        <v>94</v>
      </c>
      <c r="G134" s="96" t="s">
        <v>96</v>
      </c>
    </row>
    <row r="135" spans="1:9" s="96" customFormat="1" x14ac:dyDescent="0.2"/>
    <row r="136" spans="1:9" x14ac:dyDescent="0.2">
      <c r="A136" s="3" t="s">
        <v>48</v>
      </c>
    </row>
    <row r="138" spans="1:9" x14ac:dyDescent="0.2">
      <c r="A138" s="1">
        <v>2012</v>
      </c>
      <c r="B138" s="1" t="s">
        <v>97</v>
      </c>
      <c r="D138" s="10">
        <f>F126</f>
        <v>25000</v>
      </c>
      <c r="F138" s="1">
        <v>2013</v>
      </c>
      <c r="G138" s="1" t="s">
        <v>99</v>
      </c>
      <c r="I138" s="10">
        <f>D138</f>
        <v>25000</v>
      </c>
    </row>
    <row r="139" spans="1:9" x14ac:dyDescent="0.2">
      <c r="B139" s="1" t="s">
        <v>98</v>
      </c>
      <c r="D139" s="10">
        <f>D138</f>
        <v>25000</v>
      </c>
      <c r="G139" s="1" t="s">
        <v>100</v>
      </c>
      <c r="I139" s="10">
        <f>D139</f>
        <v>25000</v>
      </c>
    </row>
    <row r="141" spans="1:9" x14ac:dyDescent="0.2">
      <c r="B141" s="1" t="s">
        <v>101</v>
      </c>
      <c r="D141" s="10">
        <v>100000</v>
      </c>
      <c r="G141" s="1" t="s">
        <v>101</v>
      </c>
      <c r="I141" s="10">
        <v>150000</v>
      </c>
    </row>
    <row r="142" spans="1:9" x14ac:dyDescent="0.2">
      <c r="B142" s="1" t="s">
        <v>102</v>
      </c>
      <c r="D142" s="10">
        <f>D141</f>
        <v>100000</v>
      </c>
      <c r="G142" s="1" t="s">
        <v>102</v>
      </c>
      <c r="I142" s="10">
        <f>I141</f>
        <v>150000</v>
      </c>
    </row>
    <row r="145" spans="1:6" x14ac:dyDescent="0.2">
      <c r="A145" s="3" t="s">
        <v>49</v>
      </c>
    </row>
    <row r="146" spans="1:6" x14ac:dyDescent="0.2">
      <c r="D146" s="9">
        <v>2012</v>
      </c>
      <c r="E146" s="9">
        <v>2013</v>
      </c>
    </row>
    <row r="147" spans="1:6" x14ac:dyDescent="0.2">
      <c r="B147" s="1" t="s">
        <v>106</v>
      </c>
      <c r="D147" s="11">
        <v>500000</v>
      </c>
      <c r="E147" s="11">
        <v>500000</v>
      </c>
      <c r="F147" s="1" t="s">
        <v>107</v>
      </c>
    </row>
    <row r="148" spans="1:6" x14ac:dyDescent="0.2">
      <c r="B148" s="1" t="s">
        <v>103</v>
      </c>
      <c r="D148" s="11">
        <f>D138+D141</f>
        <v>125000</v>
      </c>
      <c r="E148" s="11">
        <f>I141-I139</f>
        <v>125000</v>
      </c>
      <c r="F148" s="1" t="s">
        <v>104</v>
      </c>
    </row>
    <row r="149" spans="1:6" x14ac:dyDescent="0.2">
      <c r="B149" s="1" t="s">
        <v>105</v>
      </c>
      <c r="D149" s="12">
        <f>D147-D148</f>
        <v>375000</v>
      </c>
      <c r="E149" s="12">
        <f>E147-E148</f>
        <v>375000</v>
      </c>
    </row>
    <row r="151" spans="1:6" x14ac:dyDescent="0.2">
      <c r="A151" s="3" t="s">
        <v>50</v>
      </c>
    </row>
    <row r="152" spans="1:6" x14ac:dyDescent="0.2">
      <c r="A152" s="3" t="s">
        <v>51</v>
      </c>
    </row>
    <row r="154" spans="1:6" x14ac:dyDescent="0.2">
      <c r="D154" s="9">
        <v>2012</v>
      </c>
      <c r="E154" s="9">
        <v>2013</v>
      </c>
    </row>
    <row r="155" spans="1:6" x14ac:dyDescent="0.2">
      <c r="B155" s="1" t="s">
        <v>106</v>
      </c>
      <c r="D155" s="11">
        <v>500000</v>
      </c>
      <c r="E155" s="11">
        <v>500000</v>
      </c>
    </row>
    <row r="156" spans="1:6" x14ac:dyDescent="0.2">
      <c r="B156" s="1" t="s">
        <v>90</v>
      </c>
      <c r="D156" s="13">
        <v>0.25</v>
      </c>
      <c r="E156" s="13">
        <v>0.25</v>
      </c>
    </row>
    <row r="157" spans="1:6" x14ac:dyDescent="0.2">
      <c r="B157" s="1" t="s">
        <v>108</v>
      </c>
      <c r="D157" s="11">
        <f>D155*D156</f>
        <v>125000</v>
      </c>
      <c r="E157" s="11">
        <f>E155*E156</f>
        <v>125000</v>
      </c>
    </row>
    <row r="158" spans="1:6" x14ac:dyDescent="0.2">
      <c r="B158" s="1" t="s">
        <v>109</v>
      </c>
      <c r="D158" s="11">
        <f>D157</f>
        <v>125000</v>
      </c>
      <c r="E158" s="11">
        <f>E157</f>
        <v>125000</v>
      </c>
    </row>
    <row r="160" spans="1:6" x14ac:dyDescent="0.2">
      <c r="B160" s="1" t="s">
        <v>114</v>
      </c>
    </row>
    <row r="161" spans="1:10" x14ac:dyDescent="0.2">
      <c r="B161" s="1" t="s">
        <v>110</v>
      </c>
    </row>
    <row r="162" spans="1:10" x14ac:dyDescent="0.2">
      <c r="B162" s="1" t="s">
        <v>111</v>
      </c>
    </row>
    <row r="163" spans="1:10" x14ac:dyDescent="0.2">
      <c r="B163" s="1" t="s">
        <v>112</v>
      </c>
    </row>
    <row r="164" spans="1:10" x14ac:dyDescent="0.2">
      <c r="B164" s="1" t="s">
        <v>113</v>
      </c>
    </row>
    <row r="166" spans="1:10" x14ac:dyDescent="0.2">
      <c r="A166" s="4" t="s">
        <v>115</v>
      </c>
      <c r="B166" s="5"/>
      <c r="C166" s="5"/>
      <c r="D166" s="5"/>
      <c r="E166" s="5"/>
      <c r="F166" s="5"/>
      <c r="G166" s="5"/>
      <c r="H166" s="5"/>
    </row>
    <row r="167" spans="1:10" x14ac:dyDescent="0.2">
      <c r="A167" s="1" t="s">
        <v>116</v>
      </c>
    </row>
    <row r="168" spans="1:10" x14ac:dyDescent="0.2">
      <c r="A168" s="1" t="s">
        <v>117</v>
      </c>
    </row>
    <row r="169" spans="1:10" x14ac:dyDescent="0.2">
      <c r="A169" s="1" t="s">
        <v>131</v>
      </c>
    </row>
    <row r="170" spans="1:10" x14ac:dyDescent="0.2">
      <c r="A170" s="1" t="s">
        <v>118</v>
      </c>
      <c r="H170"/>
      <c r="J170" s="17"/>
    </row>
    <row r="171" spans="1:10" x14ac:dyDescent="0.2">
      <c r="A171" s="1" t="s">
        <v>119</v>
      </c>
      <c r="I171" s="7"/>
    </row>
    <row r="172" spans="1:10" x14ac:dyDescent="0.2">
      <c r="A172" s="1" t="s">
        <v>120</v>
      </c>
      <c r="B172" s="1" t="s">
        <v>121</v>
      </c>
      <c r="F172" s="3" t="s">
        <v>132</v>
      </c>
    </row>
    <row r="173" spans="1:10" x14ac:dyDescent="0.2">
      <c r="A173" s="7">
        <v>41274</v>
      </c>
      <c r="B173" s="8">
        <v>700000</v>
      </c>
      <c r="F173" s="3" t="s">
        <v>133</v>
      </c>
    </row>
    <row r="174" spans="1:10" x14ac:dyDescent="0.2">
      <c r="A174" s="7">
        <v>41639</v>
      </c>
      <c r="B174" s="8">
        <v>1100000</v>
      </c>
      <c r="F174" s="3" t="s">
        <v>134</v>
      </c>
    </row>
    <row r="175" spans="1:10" x14ac:dyDescent="0.2">
      <c r="A175" s="7">
        <v>42004</v>
      </c>
      <c r="B175" s="8">
        <v>1050000</v>
      </c>
    </row>
    <row r="176" spans="1:10" x14ac:dyDescent="0.2">
      <c r="A176" s="1" t="s">
        <v>122</v>
      </c>
    </row>
    <row r="178" spans="1:6" x14ac:dyDescent="0.2">
      <c r="A178" s="1" t="s">
        <v>123</v>
      </c>
    </row>
    <row r="179" spans="1:6" x14ac:dyDescent="0.2">
      <c r="A179" s="1" t="s">
        <v>125</v>
      </c>
    </row>
    <row r="180" spans="1:6" x14ac:dyDescent="0.2">
      <c r="A180" s="1" t="s">
        <v>124</v>
      </c>
    </row>
    <row r="181" spans="1:6" x14ac:dyDescent="0.2">
      <c r="A181" s="1" t="s">
        <v>126</v>
      </c>
    </row>
    <row r="182" spans="1:6" x14ac:dyDescent="0.2">
      <c r="A182" s="1" t="s">
        <v>127</v>
      </c>
    </row>
    <row r="183" spans="1:6" x14ac:dyDescent="0.2">
      <c r="A183" s="1" t="s">
        <v>128</v>
      </c>
    </row>
    <row r="185" spans="1:6" x14ac:dyDescent="0.2">
      <c r="A185" s="178" t="s">
        <v>2402</v>
      </c>
      <c r="B185" s="16"/>
      <c r="C185" s="16"/>
      <c r="D185" s="16"/>
      <c r="E185" s="16"/>
      <c r="F185" s="16"/>
    </row>
    <row r="186" spans="1:6" x14ac:dyDescent="0.2">
      <c r="A186" s="1" t="s">
        <v>2395</v>
      </c>
    </row>
    <row r="187" spans="1:6" x14ac:dyDescent="0.2">
      <c r="A187" s="1" t="s">
        <v>2398</v>
      </c>
    </row>
    <row r="188" spans="1:6" x14ac:dyDescent="0.2">
      <c r="A188" s="1" t="s">
        <v>2396</v>
      </c>
    </row>
    <row r="189" spans="1:6" x14ac:dyDescent="0.2">
      <c r="A189" s="1" t="s">
        <v>2397</v>
      </c>
    </row>
    <row r="190" spans="1:6" x14ac:dyDescent="0.2">
      <c r="A190" s="1" t="s">
        <v>2399</v>
      </c>
    </row>
    <row r="191" spans="1:6" x14ac:dyDescent="0.2">
      <c r="A191" s="1" t="s">
        <v>2400</v>
      </c>
    </row>
    <row r="192" spans="1:6" x14ac:dyDescent="0.2">
      <c r="A192" s="1" t="s">
        <v>2401</v>
      </c>
    </row>
    <row r="193" spans="1:9" x14ac:dyDescent="0.2">
      <c r="A193" s="3"/>
    </row>
    <row r="194" spans="1:9" x14ac:dyDescent="0.2">
      <c r="C194" s="2" t="s">
        <v>135</v>
      </c>
      <c r="D194" s="2" t="s">
        <v>135</v>
      </c>
      <c r="E194" s="2" t="s">
        <v>135</v>
      </c>
      <c r="F194" s="2" t="s">
        <v>135</v>
      </c>
      <c r="G194" s="2" t="s">
        <v>135</v>
      </c>
    </row>
    <row r="195" spans="1:9" x14ac:dyDescent="0.2">
      <c r="C195" s="15">
        <v>40909</v>
      </c>
      <c r="D195" s="15">
        <v>41274</v>
      </c>
      <c r="E195" s="15">
        <v>41639</v>
      </c>
      <c r="F195" s="15">
        <v>42004</v>
      </c>
      <c r="G195" s="15">
        <v>42369</v>
      </c>
      <c r="I195" s="1" t="s">
        <v>2378</v>
      </c>
    </row>
    <row r="196" spans="1:9" s="96" customFormat="1" x14ac:dyDescent="0.2">
      <c r="A196" s="96" t="s">
        <v>57</v>
      </c>
      <c r="C196" s="165">
        <v>800</v>
      </c>
      <c r="D196" s="165">
        <v>700</v>
      </c>
      <c r="E196" s="165">
        <v>1100</v>
      </c>
      <c r="F196" s="165">
        <v>1050</v>
      </c>
      <c r="G196" s="165">
        <v>0</v>
      </c>
      <c r="I196" s="96" t="s">
        <v>2379</v>
      </c>
    </row>
    <row r="197" spans="1:9" s="96" customFormat="1" x14ac:dyDescent="0.2">
      <c r="A197" s="96" t="s">
        <v>129</v>
      </c>
      <c r="C197" s="165">
        <v>800</v>
      </c>
      <c r="D197" s="165">
        <f>C197</f>
        <v>800</v>
      </c>
      <c r="E197" s="165">
        <f>D197</f>
        <v>800</v>
      </c>
      <c r="F197" s="165">
        <f>E197</f>
        <v>800</v>
      </c>
      <c r="G197" s="165">
        <v>0</v>
      </c>
      <c r="I197" s="96" t="s">
        <v>2380</v>
      </c>
    </row>
    <row r="198" spans="1:9" x14ac:dyDescent="0.2">
      <c r="A198" s="1" t="s">
        <v>136</v>
      </c>
      <c r="C198" s="228">
        <f>C196-C197</f>
        <v>0</v>
      </c>
      <c r="D198" s="210">
        <f>D196-D197</f>
        <v>-100</v>
      </c>
      <c r="E198" s="210">
        <f>E196-E197</f>
        <v>300</v>
      </c>
      <c r="F198" s="210">
        <f>F196-F197</f>
        <v>250</v>
      </c>
      <c r="G198" s="210">
        <f>G196-G197</f>
        <v>0</v>
      </c>
      <c r="I198" s="1" t="s">
        <v>2381</v>
      </c>
    </row>
    <row r="199" spans="1:9" x14ac:dyDescent="0.2">
      <c r="A199" s="1" t="s">
        <v>130</v>
      </c>
      <c r="C199" s="172">
        <v>0.25</v>
      </c>
      <c r="D199" s="172">
        <v>0.25</v>
      </c>
      <c r="E199" s="172">
        <v>0.25</v>
      </c>
      <c r="F199" s="172">
        <v>0.25</v>
      </c>
      <c r="G199" s="172">
        <v>0.25</v>
      </c>
    </row>
    <row r="200" spans="1:9" x14ac:dyDescent="0.2">
      <c r="A200" s="1" t="s">
        <v>137</v>
      </c>
      <c r="C200" s="210">
        <f>-C199*C198</f>
        <v>0</v>
      </c>
      <c r="D200" s="210">
        <f t="shared" ref="D200:G200" si="1">-D199*D198</f>
        <v>25</v>
      </c>
      <c r="E200" s="210">
        <f t="shared" si="1"/>
        <v>-75</v>
      </c>
      <c r="F200" s="229">
        <f t="shared" si="1"/>
        <v>-62.5</v>
      </c>
      <c r="G200" s="210">
        <f t="shared" si="1"/>
        <v>0</v>
      </c>
    </row>
    <row r="201" spans="1:9" x14ac:dyDescent="0.2">
      <c r="C201" s="169"/>
      <c r="D201" s="169"/>
      <c r="E201" s="169"/>
      <c r="F201" s="230"/>
      <c r="G201" s="169"/>
      <c r="I201" s="1" t="s">
        <v>2391</v>
      </c>
    </row>
    <row r="202" spans="1:9" x14ac:dyDescent="0.2">
      <c r="C202" s="231" t="s">
        <v>2382</v>
      </c>
      <c r="D202" s="169"/>
      <c r="E202" s="231" t="s">
        <v>2384</v>
      </c>
      <c r="F202" s="232" t="s">
        <v>2386</v>
      </c>
      <c r="G202" s="232" t="s">
        <v>2389</v>
      </c>
      <c r="I202" s="1" t="s">
        <v>2392</v>
      </c>
    </row>
    <row r="203" spans="1:9" x14ac:dyDescent="0.2">
      <c r="C203" s="234" t="s">
        <v>2383</v>
      </c>
      <c r="D203" s="235"/>
      <c r="E203" s="231" t="s">
        <v>2388</v>
      </c>
      <c r="F203" s="237" t="s">
        <v>2387</v>
      </c>
      <c r="G203" s="237" t="s">
        <v>2390</v>
      </c>
      <c r="I203" s="1" t="s">
        <v>2393</v>
      </c>
    </row>
    <row r="204" spans="1:9" x14ac:dyDescent="0.2">
      <c r="C204" s="169"/>
      <c r="D204" s="169"/>
      <c r="E204" s="234" t="s">
        <v>2385</v>
      </c>
      <c r="F204" s="236"/>
      <c r="G204" s="169"/>
    </row>
    <row r="205" spans="1:9" x14ac:dyDescent="0.2">
      <c r="C205" s="169"/>
      <c r="D205" s="169"/>
      <c r="E205" s="169"/>
      <c r="F205" s="230"/>
      <c r="G205" s="169"/>
    </row>
    <row r="207" spans="1:9" x14ac:dyDescent="0.2">
      <c r="A207" s="1" t="s">
        <v>138</v>
      </c>
    </row>
    <row r="208" spans="1:9" x14ac:dyDescent="0.2">
      <c r="A208" s="1" t="s">
        <v>139</v>
      </c>
    </row>
    <row r="209" spans="1:10" x14ac:dyDescent="0.2">
      <c r="A209" s="1" t="s">
        <v>140</v>
      </c>
      <c r="J209" s="3" t="s">
        <v>132</v>
      </c>
    </row>
    <row r="210" spans="1:10" x14ac:dyDescent="0.2">
      <c r="A210" s="1" t="s">
        <v>141</v>
      </c>
      <c r="J210" s="3" t="s">
        <v>133</v>
      </c>
    </row>
    <row r="211" spans="1:10" x14ac:dyDescent="0.2">
      <c r="A211" s="1" t="s">
        <v>142</v>
      </c>
      <c r="J211" s="3" t="s">
        <v>134</v>
      </c>
    </row>
    <row r="212" spans="1:10" x14ac:dyDescent="0.2">
      <c r="A212" s="1" t="s">
        <v>143</v>
      </c>
    </row>
    <row r="213" spans="1:10" x14ac:dyDescent="0.2">
      <c r="A213" s="1" t="s">
        <v>144</v>
      </c>
    </row>
    <row r="214" spans="1:10" x14ac:dyDescent="0.2">
      <c r="A214" s="1" t="s">
        <v>145</v>
      </c>
    </row>
    <row r="215" spans="1:10" x14ac:dyDescent="0.2">
      <c r="A215" s="1" t="s">
        <v>146</v>
      </c>
    </row>
    <row r="217" spans="1:10" x14ac:dyDescent="0.2">
      <c r="A217" s="3" t="s">
        <v>2403</v>
      </c>
    </row>
    <row r="218" spans="1:10" x14ac:dyDescent="0.2">
      <c r="A218" s="1" t="s">
        <v>2404</v>
      </c>
    </row>
    <row r="219" spans="1:10" x14ac:dyDescent="0.2">
      <c r="A219" s="1" t="s">
        <v>2405</v>
      </c>
    </row>
    <row r="220" spans="1:10" x14ac:dyDescent="0.2">
      <c r="A220" s="1" t="s">
        <v>2406</v>
      </c>
    </row>
    <row r="221" spans="1:10" x14ac:dyDescent="0.2">
      <c r="A221" s="1" t="s">
        <v>2407</v>
      </c>
    </row>
    <row r="223" spans="1:10" x14ac:dyDescent="0.2">
      <c r="D223" s="2" t="s">
        <v>135</v>
      </c>
      <c r="E223" s="2" t="s">
        <v>135</v>
      </c>
      <c r="F223" s="2" t="s">
        <v>135</v>
      </c>
      <c r="G223" s="2" t="s">
        <v>135</v>
      </c>
    </row>
    <row r="224" spans="1:10" x14ac:dyDescent="0.2">
      <c r="D224" s="9">
        <v>2012</v>
      </c>
      <c r="E224" s="9">
        <v>2013</v>
      </c>
      <c r="F224" s="9">
        <v>2014</v>
      </c>
      <c r="G224" s="9">
        <v>2015</v>
      </c>
    </row>
    <row r="225" spans="1:11" x14ac:dyDescent="0.2">
      <c r="B225" s="1" t="s">
        <v>63</v>
      </c>
      <c r="D225" s="2">
        <v>1000</v>
      </c>
      <c r="E225" s="2">
        <f>D225</f>
        <v>1000</v>
      </c>
      <c r="F225" s="2">
        <f>E225</f>
        <v>1000</v>
      </c>
      <c r="G225" s="2">
        <f>F225</f>
        <v>1000</v>
      </c>
    </row>
    <row r="226" spans="1:11" x14ac:dyDescent="0.2">
      <c r="B226" s="96" t="s">
        <v>147</v>
      </c>
      <c r="C226" s="96"/>
      <c r="D226" s="96"/>
      <c r="E226" s="93"/>
      <c r="F226" s="93"/>
      <c r="G226" s="93"/>
      <c r="H226" s="93"/>
      <c r="I226" s="93"/>
      <c r="J226" s="93"/>
    </row>
    <row r="227" spans="1:11" x14ac:dyDescent="0.2">
      <c r="A227" s="1" t="s">
        <v>2394</v>
      </c>
      <c r="B227" s="96" t="s">
        <v>148</v>
      </c>
      <c r="C227" s="96"/>
      <c r="D227" s="169">
        <f>-D198</f>
        <v>100</v>
      </c>
      <c r="E227" s="93"/>
      <c r="F227" s="165">
        <f>50</f>
        <v>50</v>
      </c>
      <c r="G227" s="93"/>
      <c r="H227" s="96" t="s">
        <v>2408</v>
      </c>
      <c r="I227" s="93"/>
      <c r="J227" s="96"/>
      <c r="K227" s="96"/>
    </row>
    <row r="228" spans="1:11" x14ac:dyDescent="0.2">
      <c r="A228" s="1" t="s">
        <v>2394</v>
      </c>
      <c r="B228" s="96" t="s">
        <v>149</v>
      </c>
      <c r="C228" s="96"/>
      <c r="D228" s="96"/>
      <c r="E228" s="169">
        <v>-400</v>
      </c>
      <c r="F228" s="93"/>
      <c r="G228" s="93"/>
      <c r="H228" s="96" t="s">
        <v>2409</v>
      </c>
      <c r="I228" s="93"/>
      <c r="J228" s="96"/>
      <c r="K228" s="96"/>
    </row>
    <row r="229" spans="1:11" s="96" customFormat="1" x14ac:dyDescent="0.2">
      <c r="B229" s="96" t="s">
        <v>162</v>
      </c>
      <c r="G229" s="169">
        <f>F198</f>
        <v>250</v>
      </c>
      <c r="H229" s="96" t="s">
        <v>2410</v>
      </c>
    </row>
    <row r="230" spans="1:11" x14ac:dyDescent="0.2">
      <c r="B230" s="96" t="s">
        <v>166</v>
      </c>
      <c r="C230" s="93"/>
      <c r="D230" s="233">
        <f>SUM(D225:D229)</f>
        <v>1100</v>
      </c>
      <c r="E230" s="233">
        <f t="shared" ref="E230:G230" si="2">SUM(E225:E229)</f>
        <v>600</v>
      </c>
      <c r="F230" s="233">
        <f t="shared" si="2"/>
        <v>1050</v>
      </c>
      <c r="G230" s="233">
        <f t="shared" si="2"/>
        <v>1250</v>
      </c>
      <c r="H230" s="93"/>
      <c r="I230" s="93"/>
      <c r="J230" s="93"/>
    </row>
    <row r="231" spans="1:11" s="96" customFormat="1" ht="17" thickBot="1" x14ac:dyDescent="0.25">
      <c r="B231" s="96" t="s">
        <v>168</v>
      </c>
      <c r="D231" s="172">
        <v>0.25</v>
      </c>
      <c r="E231" s="172">
        <v>0.25</v>
      </c>
      <c r="F231" s="172">
        <v>0.25</v>
      </c>
      <c r="G231" s="172">
        <v>0.25</v>
      </c>
    </row>
    <row r="232" spans="1:11" s="96" customFormat="1" x14ac:dyDescent="0.2">
      <c r="B232" s="96" t="s">
        <v>167</v>
      </c>
      <c r="D232" s="238">
        <f>D230*D231</f>
        <v>275</v>
      </c>
      <c r="E232" s="238">
        <f>E230*E231</f>
        <v>150</v>
      </c>
      <c r="F232" s="240">
        <f>F230*F231</f>
        <v>262.5</v>
      </c>
      <c r="G232" s="238">
        <f>G230*G231</f>
        <v>312.5</v>
      </c>
      <c r="H232" s="96" t="s">
        <v>2411</v>
      </c>
    </row>
    <row r="233" spans="1:11" ht="17" thickBot="1" x14ac:dyDescent="0.25">
      <c r="A233" s="96"/>
      <c r="B233" s="96" t="s">
        <v>169</v>
      </c>
      <c r="C233" s="96"/>
      <c r="D233" s="242">
        <f>-D200</f>
        <v>-25</v>
      </c>
      <c r="E233" s="242">
        <f>-(E200-D200)</f>
        <v>100</v>
      </c>
      <c r="F233" s="241">
        <v>-12.5</v>
      </c>
      <c r="G233" s="239">
        <f>F200</f>
        <v>-62.5</v>
      </c>
      <c r="H233" s="96" t="s">
        <v>2412</v>
      </c>
      <c r="I233" s="93"/>
      <c r="J233" s="93"/>
    </row>
    <row r="234" spans="1:11" s="96" customFormat="1" x14ac:dyDescent="0.2">
      <c r="B234" s="192" t="s">
        <v>170</v>
      </c>
      <c r="C234" s="192"/>
      <c r="D234" s="243">
        <f>D232+D233</f>
        <v>250</v>
      </c>
      <c r="E234" s="243">
        <f t="shared" ref="E234:G234" si="3">E232+E233</f>
        <v>250</v>
      </c>
      <c r="F234" s="243">
        <f t="shared" si="3"/>
        <v>250</v>
      </c>
      <c r="G234" s="243">
        <f t="shared" si="3"/>
        <v>250</v>
      </c>
      <c r="H234" s="96" t="s">
        <v>2413</v>
      </c>
    </row>
    <row r="235" spans="1:11" x14ac:dyDescent="0.2">
      <c r="D235" s="2"/>
      <c r="E235" s="2"/>
      <c r="F235" s="2"/>
      <c r="G235" s="2"/>
    </row>
    <row r="236" spans="1:11" x14ac:dyDescent="0.2">
      <c r="A236" s="1" t="s">
        <v>138</v>
      </c>
    </row>
    <row r="237" spans="1:11" x14ac:dyDescent="0.2">
      <c r="A237" s="1" t="s">
        <v>150</v>
      </c>
    </row>
    <row r="238" spans="1:11" x14ac:dyDescent="0.2">
      <c r="A238" s="1" t="s">
        <v>151</v>
      </c>
    </row>
    <row r="239" spans="1:11" x14ac:dyDescent="0.2">
      <c r="A239" s="1" t="s">
        <v>152</v>
      </c>
    </row>
    <row r="240" spans="1:11" x14ac:dyDescent="0.2">
      <c r="A240" s="1" t="s">
        <v>153</v>
      </c>
    </row>
    <row r="242" spans="1:8" x14ac:dyDescent="0.2">
      <c r="A242" s="1" t="s">
        <v>154</v>
      </c>
      <c r="D242" s="1" t="s">
        <v>158</v>
      </c>
      <c r="F242" s="1" t="s">
        <v>159</v>
      </c>
    </row>
    <row r="243" spans="1:8" x14ac:dyDescent="0.2">
      <c r="A243" s="1" t="s">
        <v>155</v>
      </c>
      <c r="D243" s="1">
        <v>1050</v>
      </c>
      <c r="E243" s="1" t="s">
        <v>56</v>
      </c>
      <c r="F243" s="1">
        <v>800</v>
      </c>
    </row>
    <row r="244" spans="1:8" x14ac:dyDescent="0.2">
      <c r="A244" s="1" t="s">
        <v>156</v>
      </c>
      <c r="D244" s="1">
        <v>1080</v>
      </c>
      <c r="E244" s="1" t="s">
        <v>160</v>
      </c>
      <c r="F244" s="1">
        <v>1080</v>
      </c>
    </row>
    <row r="245" spans="1:8" x14ac:dyDescent="0.2">
      <c r="A245" s="1" t="s">
        <v>157</v>
      </c>
      <c r="D245" s="1">
        <f>D244-D243</f>
        <v>30</v>
      </c>
      <c r="E245" s="1" t="s">
        <v>161</v>
      </c>
      <c r="F245" s="1">
        <f>F244-F243</f>
        <v>280</v>
      </c>
    </row>
    <row r="250" spans="1:8" x14ac:dyDescent="0.2">
      <c r="D250" s="1" t="s">
        <v>163</v>
      </c>
    </row>
    <row r="251" spans="1:8" x14ac:dyDescent="0.2">
      <c r="D251" s="1" t="s">
        <v>164</v>
      </c>
    </row>
    <row r="252" spans="1:8" x14ac:dyDescent="0.2">
      <c r="D252" s="1" t="s">
        <v>165</v>
      </c>
    </row>
    <row r="254" spans="1:8" x14ac:dyDescent="0.2">
      <c r="A254" s="1" t="s">
        <v>171</v>
      </c>
      <c r="D254" s="1" t="s">
        <v>172</v>
      </c>
      <c r="H254" s="1" t="s">
        <v>174</v>
      </c>
    </row>
    <row r="255" spans="1:8" x14ac:dyDescent="0.2">
      <c r="D255" s="1" t="s">
        <v>173</v>
      </c>
      <c r="H255" s="1" t="s">
        <v>175</v>
      </c>
    </row>
    <row r="257" spans="1:7" x14ac:dyDescent="0.2">
      <c r="A257" s="3" t="s">
        <v>176</v>
      </c>
    </row>
    <row r="258" spans="1:7" x14ac:dyDescent="0.2">
      <c r="D258" s="2" t="s">
        <v>135</v>
      </c>
      <c r="E258" s="2" t="s">
        <v>135</v>
      </c>
      <c r="F258" s="2" t="s">
        <v>135</v>
      </c>
      <c r="G258" s="2" t="s">
        <v>135</v>
      </c>
    </row>
    <row r="259" spans="1:7" x14ac:dyDescent="0.2">
      <c r="D259" s="9">
        <v>2012</v>
      </c>
      <c r="E259" s="9">
        <v>2013</v>
      </c>
      <c r="F259" s="9">
        <v>2014</v>
      </c>
      <c r="G259" s="9">
        <v>2015</v>
      </c>
    </row>
    <row r="260" spans="1:7" x14ac:dyDescent="0.2">
      <c r="B260" s="1" t="s">
        <v>63</v>
      </c>
      <c r="D260" s="2">
        <v>1000</v>
      </c>
      <c r="E260" s="2">
        <f>D260</f>
        <v>1000</v>
      </c>
      <c r="F260" s="2">
        <f>E260</f>
        <v>1000</v>
      </c>
      <c r="G260" s="2">
        <f>F260</f>
        <v>1000</v>
      </c>
    </row>
    <row r="261" spans="1:7" x14ac:dyDescent="0.2">
      <c r="B261" s="1" t="s">
        <v>170</v>
      </c>
      <c r="D261" s="19">
        <f>D234</f>
        <v>250</v>
      </c>
      <c r="E261" s="19">
        <f t="shared" ref="E261:G261" si="4">E234</f>
        <v>250</v>
      </c>
      <c r="F261" s="19">
        <f t="shared" si="4"/>
        <v>250</v>
      </c>
      <c r="G261" s="19">
        <f t="shared" si="4"/>
        <v>250</v>
      </c>
    </row>
    <row r="262" spans="1:7" x14ac:dyDescent="0.2">
      <c r="B262" s="20" t="s">
        <v>105</v>
      </c>
      <c r="C262" s="20"/>
      <c r="D262" s="21">
        <f>D260-D261</f>
        <v>750</v>
      </c>
      <c r="E262" s="21">
        <f t="shared" ref="E262:G262" si="5">E260-E261</f>
        <v>750</v>
      </c>
      <c r="F262" s="21">
        <f t="shared" si="5"/>
        <v>750</v>
      </c>
      <c r="G262" s="21">
        <f t="shared" si="5"/>
        <v>750</v>
      </c>
    </row>
    <row r="264" spans="1:7" x14ac:dyDescent="0.2">
      <c r="A264" s="3" t="s">
        <v>177</v>
      </c>
    </row>
    <row r="265" spans="1:7" ht="17" thickBot="1" x14ac:dyDescent="0.25"/>
    <row r="266" spans="1:7" x14ac:dyDescent="0.2">
      <c r="A266" s="22"/>
      <c r="B266" s="23"/>
      <c r="C266" s="24" t="s">
        <v>135</v>
      </c>
      <c r="D266" s="24" t="s">
        <v>135</v>
      </c>
      <c r="E266" s="24" t="s">
        <v>135</v>
      </c>
      <c r="F266" s="24" t="s">
        <v>135</v>
      </c>
      <c r="G266" s="25" t="s">
        <v>135</v>
      </c>
    </row>
    <row r="267" spans="1:7" x14ac:dyDescent="0.2">
      <c r="A267" s="26"/>
      <c r="C267" s="15">
        <v>40909</v>
      </c>
      <c r="D267" s="15">
        <v>41274</v>
      </c>
      <c r="E267" s="15">
        <v>41639</v>
      </c>
      <c r="F267" s="15">
        <v>42004</v>
      </c>
      <c r="G267" s="27">
        <v>42369</v>
      </c>
    </row>
    <row r="268" spans="1:7" x14ac:dyDescent="0.2">
      <c r="A268" s="26" t="s">
        <v>57</v>
      </c>
      <c r="C268" s="391" t="s">
        <v>178</v>
      </c>
      <c r="D268" s="391"/>
      <c r="E268" s="391"/>
      <c r="F268" s="391"/>
      <c r="G268" s="392"/>
    </row>
    <row r="269" spans="1:7" x14ac:dyDescent="0.2">
      <c r="A269" s="26" t="s">
        <v>129</v>
      </c>
      <c r="C269" s="393" t="s">
        <v>179</v>
      </c>
      <c r="D269" s="393"/>
      <c r="E269" s="393"/>
      <c r="F269" s="393"/>
      <c r="G269" s="394"/>
    </row>
    <row r="270" spans="1:7" x14ac:dyDescent="0.2">
      <c r="A270" s="26" t="s">
        <v>136</v>
      </c>
      <c r="C270" s="395" t="s">
        <v>180</v>
      </c>
      <c r="D270" s="395"/>
      <c r="E270" s="395"/>
      <c r="F270" s="395"/>
      <c r="G270" s="396"/>
    </row>
    <row r="271" spans="1:7" x14ac:dyDescent="0.2">
      <c r="A271" s="26" t="s">
        <v>130</v>
      </c>
      <c r="C271" s="397" t="s">
        <v>181</v>
      </c>
      <c r="D271" s="397"/>
      <c r="E271" s="397"/>
      <c r="F271" s="397"/>
      <c r="G271" s="398"/>
    </row>
    <row r="272" spans="1:7" ht="17" thickBot="1" x14ac:dyDescent="0.25">
      <c r="A272" s="28" t="s">
        <v>137</v>
      </c>
      <c r="B272" s="29"/>
      <c r="C272" s="399" t="s">
        <v>182</v>
      </c>
      <c r="D272" s="399"/>
      <c r="E272" s="399"/>
      <c r="F272" s="399"/>
      <c r="G272" s="400"/>
    </row>
    <row r="274" spans="1:8" x14ac:dyDescent="0.2">
      <c r="A274" s="30" t="s">
        <v>183</v>
      </c>
      <c r="B274" s="31"/>
      <c r="C274" s="31"/>
      <c r="D274" s="31"/>
      <c r="E274" s="31"/>
      <c r="F274" s="31"/>
      <c r="G274" s="31"/>
      <c r="H274" s="31"/>
    </row>
    <row r="276" spans="1:8" x14ac:dyDescent="0.2">
      <c r="A276" s="32" t="s">
        <v>184</v>
      </c>
      <c r="B276" s="33"/>
      <c r="C276" s="33"/>
      <c r="D276" s="33"/>
      <c r="E276" s="33"/>
      <c r="F276" s="33"/>
      <c r="G276" s="33"/>
      <c r="H276" s="33"/>
    </row>
    <row r="277" spans="1:8" x14ac:dyDescent="0.2">
      <c r="A277" s="1" t="s">
        <v>185</v>
      </c>
    </row>
    <row r="278" spans="1:8" x14ac:dyDescent="0.2">
      <c r="A278" s="1" t="s">
        <v>186</v>
      </c>
    </row>
    <row r="279" spans="1:8" x14ac:dyDescent="0.2">
      <c r="A279" s="1" t="s">
        <v>187</v>
      </c>
    </row>
    <row r="281" spans="1:8" x14ac:dyDescent="0.2">
      <c r="A281" s="1" t="s">
        <v>188</v>
      </c>
    </row>
    <row r="283" spans="1:8" x14ac:dyDescent="0.2">
      <c r="A283" s="1" t="s">
        <v>120</v>
      </c>
      <c r="B283" s="1" t="s">
        <v>121</v>
      </c>
    </row>
    <row r="284" spans="1:8" x14ac:dyDescent="0.2">
      <c r="A284" s="7">
        <v>45291</v>
      </c>
      <c r="B284" s="10">
        <v>1100000</v>
      </c>
    </row>
    <row r="285" spans="1:8" x14ac:dyDescent="0.2">
      <c r="A285" s="7">
        <v>45657</v>
      </c>
      <c r="B285" s="10">
        <v>1400000</v>
      </c>
    </row>
    <row r="286" spans="1:8" x14ac:dyDescent="0.2">
      <c r="A286" s="7">
        <v>46022</v>
      </c>
      <c r="B286" s="10">
        <v>900000</v>
      </c>
    </row>
    <row r="287" spans="1:8" x14ac:dyDescent="0.2">
      <c r="A287" s="7">
        <v>46387</v>
      </c>
      <c r="B287" s="10">
        <v>1700000</v>
      </c>
    </row>
    <row r="289" spans="1:8" x14ac:dyDescent="0.2">
      <c r="A289" s="1" t="s">
        <v>189</v>
      </c>
    </row>
    <row r="291" spans="1:8" x14ac:dyDescent="0.2">
      <c r="A291" s="1" t="s">
        <v>192</v>
      </c>
    </row>
    <row r="293" spans="1:8" x14ac:dyDescent="0.2">
      <c r="A293" s="3" t="s">
        <v>190</v>
      </c>
    </row>
    <row r="295" spans="1:8" x14ac:dyDescent="0.2">
      <c r="A295" s="3"/>
      <c r="C295" s="2" t="s">
        <v>135</v>
      </c>
      <c r="D295" s="2" t="s">
        <v>135</v>
      </c>
      <c r="E295" s="2" t="s">
        <v>135</v>
      </c>
      <c r="F295" s="2" t="s">
        <v>135</v>
      </c>
      <c r="G295" s="2" t="s">
        <v>135</v>
      </c>
      <c r="H295" s="2" t="s">
        <v>191</v>
      </c>
    </row>
    <row r="296" spans="1:8" x14ac:dyDescent="0.2">
      <c r="C296" s="15">
        <v>44926</v>
      </c>
      <c r="D296" s="15">
        <v>45291</v>
      </c>
      <c r="E296" s="15">
        <v>45657</v>
      </c>
      <c r="F296" s="15">
        <v>46022</v>
      </c>
      <c r="G296" s="15">
        <v>46387</v>
      </c>
      <c r="H296" s="15">
        <v>46752</v>
      </c>
    </row>
    <row r="297" spans="1:8" x14ac:dyDescent="0.2">
      <c r="A297" s="1" t="s">
        <v>57</v>
      </c>
      <c r="C297" s="2">
        <v>1000000</v>
      </c>
      <c r="D297" s="11">
        <f>B284</f>
        <v>1100000</v>
      </c>
      <c r="E297" s="11">
        <f>B285</f>
        <v>1400000</v>
      </c>
      <c r="F297" s="11">
        <f>B286</f>
        <v>900000</v>
      </c>
      <c r="G297" s="11">
        <f>B287</f>
        <v>1700000</v>
      </c>
      <c r="H297" s="2">
        <v>0</v>
      </c>
    </row>
    <row r="298" spans="1:8" x14ac:dyDescent="0.2">
      <c r="A298" s="1" t="s">
        <v>129</v>
      </c>
      <c r="C298" s="2">
        <f>C297</f>
        <v>1000000</v>
      </c>
      <c r="D298" s="2">
        <f>C298</f>
        <v>1000000</v>
      </c>
      <c r="E298" s="2">
        <f>D298</f>
        <v>1000000</v>
      </c>
      <c r="F298" s="2">
        <f>E298</f>
        <v>1000000</v>
      </c>
      <c r="G298" s="2">
        <f>F298</f>
        <v>1000000</v>
      </c>
      <c r="H298" s="2">
        <v>0</v>
      </c>
    </row>
    <row r="299" spans="1:8" x14ac:dyDescent="0.2">
      <c r="A299" s="1" t="s">
        <v>136</v>
      </c>
      <c r="C299" s="18">
        <f>C297-C298</f>
        <v>0</v>
      </c>
      <c r="D299" s="12">
        <f>D297-D298</f>
        <v>100000</v>
      </c>
      <c r="E299" s="12">
        <f>E297-E298</f>
        <v>400000</v>
      </c>
      <c r="F299" s="12">
        <f>F297-F298</f>
        <v>-100000</v>
      </c>
      <c r="G299" s="12">
        <f>G297-G298</f>
        <v>700000</v>
      </c>
      <c r="H299" s="12">
        <v>0</v>
      </c>
    </row>
    <row r="300" spans="1:8" x14ac:dyDescent="0.2">
      <c r="A300" s="1" t="s">
        <v>130</v>
      </c>
      <c r="C300" s="13">
        <v>0.23</v>
      </c>
      <c r="D300" s="13">
        <f>C300</f>
        <v>0.23</v>
      </c>
      <c r="E300" s="13">
        <f>D300</f>
        <v>0.23</v>
      </c>
      <c r="F300" s="13">
        <f>E300</f>
        <v>0.23</v>
      </c>
      <c r="G300" s="13">
        <f>F300</f>
        <v>0.23</v>
      </c>
      <c r="H300" s="13">
        <f>G300</f>
        <v>0.23</v>
      </c>
    </row>
    <row r="301" spans="1:8" x14ac:dyDescent="0.2">
      <c r="A301" s="1" t="s">
        <v>137</v>
      </c>
      <c r="C301" s="12">
        <f>-C300*C299</f>
        <v>0</v>
      </c>
      <c r="D301" s="12">
        <f t="shared" ref="D301:G301" si="6">-D300*D299</f>
        <v>-23000</v>
      </c>
      <c r="E301" s="12">
        <f t="shared" si="6"/>
        <v>-92000</v>
      </c>
      <c r="F301" s="12">
        <f t="shared" si="6"/>
        <v>23000</v>
      </c>
      <c r="G301" s="12">
        <f t="shared" si="6"/>
        <v>-161000</v>
      </c>
      <c r="H301" s="12">
        <v>0</v>
      </c>
    </row>
    <row r="303" spans="1:8" x14ac:dyDescent="0.2">
      <c r="A303" s="1" t="s">
        <v>193</v>
      </c>
    </row>
    <row r="305" spans="1:8" x14ac:dyDescent="0.2">
      <c r="A305" s="1" t="s">
        <v>194</v>
      </c>
      <c r="B305" s="1" t="s">
        <v>195</v>
      </c>
      <c r="E305" s="1" t="s">
        <v>199</v>
      </c>
    </row>
    <row r="306" spans="1:8" x14ac:dyDescent="0.2">
      <c r="A306" s="1">
        <v>2023</v>
      </c>
      <c r="B306" s="1" t="s">
        <v>196</v>
      </c>
      <c r="E306" s="10">
        <f>C301-D301</f>
        <v>23000</v>
      </c>
    </row>
    <row r="307" spans="1:8" x14ac:dyDescent="0.2">
      <c r="A307" s="1">
        <v>2024</v>
      </c>
      <c r="B307" s="1" t="s">
        <v>196</v>
      </c>
      <c r="E307" s="10">
        <f>D301-E301</f>
        <v>69000</v>
      </c>
    </row>
    <row r="308" spans="1:8" x14ac:dyDescent="0.2">
      <c r="A308" s="1">
        <v>2025</v>
      </c>
      <c r="B308" s="1" t="s">
        <v>197</v>
      </c>
      <c r="E308" s="10">
        <f>E301-F301</f>
        <v>-115000</v>
      </c>
    </row>
    <row r="309" spans="1:8" x14ac:dyDescent="0.2">
      <c r="A309" s="1">
        <v>2026</v>
      </c>
      <c r="B309" s="1" t="s">
        <v>196</v>
      </c>
      <c r="E309" s="10">
        <f>F301-G301</f>
        <v>184000</v>
      </c>
    </row>
    <row r="310" spans="1:8" x14ac:dyDescent="0.2">
      <c r="A310" s="1">
        <v>2027</v>
      </c>
      <c r="B310" s="1" t="s">
        <v>197</v>
      </c>
      <c r="E310" s="10">
        <f>G301-H301</f>
        <v>-161000</v>
      </c>
    </row>
    <row r="311" spans="1:8" x14ac:dyDescent="0.2">
      <c r="B311" s="1" t="s">
        <v>198</v>
      </c>
      <c r="E311" s="10">
        <f>SUM(E306:E310)</f>
        <v>0</v>
      </c>
    </row>
    <row r="313" spans="1:8" x14ac:dyDescent="0.2">
      <c r="B313" s="1" t="s">
        <v>200</v>
      </c>
    </row>
    <row r="315" spans="1:8" x14ac:dyDescent="0.2">
      <c r="A315" s="32" t="s">
        <v>201</v>
      </c>
      <c r="B315" s="33"/>
      <c r="C315" s="33"/>
      <c r="D315" s="33"/>
      <c r="E315" s="33"/>
      <c r="F315" s="33"/>
      <c r="G315" s="33"/>
      <c r="H315" s="33"/>
    </row>
    <row r="316" spans="1:8" x14ac:dyDescent="0.2">
      <c r="A316" s="1" t="s">
        <v>202</v>
      </c>
    </row>
    <row r="317" spans="1:8" x14ac:dyDescent="0.2">
      <c r="A317" s="1" t="s">
        <v>186</v>
      </c>
    </row>
    <row r="318" spans="1:8" x14ac:dyDescent="0.2">
      <c r="A318" s="1" t="s">
        <v>187</v>
      </c>
    </row>
    <row r="320" spans="1:8" x14ac:dyDescent="0.2">
      <c r="A320" s="1" t="s">
        <v>188</v>
      </c>
    </row>
    <row r="322" spans="1:8" x14ac:dyDescent="0.2">
      <c r="A322" s="1" t="s">
        <v>120</v>
      </c>
      <c r="B322" s="1" t="s">
        <v>121</v>
      </c>
    </row>
    <row r="323" spans="1:8" x14ac:dyDescent="0.2">
      <c r="A323" s="7">
        <v>45657</v>
      </c>
      <c r="B323" s="10">
        <v>800000</v>
      </c>
    </row>
    <row r="324" spans="1:8" x14ac:dyDescent="0.2">
      <c r="A324" s="7">
        <v>46022</v>
      </c>
      <c r="B324" s="10">
        <v>840000</v>
      </c>
    </row>
    <row r="325" spans="1:8" x14ac:dyDescent="0.2">
      <c r="A325" s="7">
        <v>46387</v>
      </c>
      <c r="B325" s="10">
        <v>1100000</v>
      </c>
    </row>
    <row r="326" spans="1:8" x14ac:dyDescent="0.2">
      <c r="A326" s="7">
        <v>46752</v>
      </c>
      <c r="B326" s="10">
        <v>920000</v>
      </c>
    </row>
    <row r="328" spans="1:8" x14ac:dyDescent="0.2">
      <c r="A328" s="1" t="s">
        <v>203</v>
      </c>
    </row>
    <row r="330" spans="1:8" x14ac:dyDescent="0.2">
      <c r="A330" s="1" t="s">
        <v>192</v>
      </c>
    </row>
    <row r="332" spans="1:8" x14ac:dyDescent="0.2">
      <c r="A332" s="3" t="s">
        <v>206</v>
      </c>
    </row>
    <row r="334" spans="1:8" x14ac:dyDescent="0.2">
      <c r="A334" s="3"/>
      <c r="C334" s="2" t="s">
        <v>135</v>
      </c>
      <c r="D334" s="2" t="s">
        <v>135</v>
      </c>
      <c r="E334" s="2" t="s">
        <v>135</v>
      </c>
      <c r="F334" s="2" t="s">
        <v>135</v>
      </c>
      <c r="G334" s="2" t="s">
        <v>135</v>
      </c>
      <c r="H334" s="2" t="s">
        <v>191</v>
      </c>
    </row>
    <row r="335" spans="1:8" x14ac:dyDescent="0.2">
      <c r="C335" s="15">
        <v>45291</v>
      </c>
      <c r="D335" s="15">
        <f>A323</f>
        <v>45657</v>
      </c>
      <c r="E335" s="15">
        <f>A324</f>
        <v>46022</v>
      </c>
      <c r="F335" s="15">
        <f>A325</f>
        <v>46387</v>
      </c>
      <c r="G335" s="15">
        <f>A326</f>
        <v>46752</v>
      </c>
      <c r="H335" s="15">
        <v>43465</v>
      </c>
    </row>
    <row r="336" spans="1:8" x14ac:dyDescent="0.2">
      <c r="A336" s="1" t="s">
        <v>57</v>
      </c>
      <c r="C336" s="2">
        <v>850000</v>
      </c>
      <c r="D336" s="11">
        <f>B323</f>
        <v>800000</v>
      </c>
      <c r="E336" s="11">
        <f>B324</f>
        <v>840000</v>
      </c>
      <c r="F336" s="11">
        <f>B325</f>
        <v>1100000</v>
      </c>
      <c r="G336" s="11">
        <f>B326</f>
        <v>920000</v>
      </c>
      <c r="H336" s="2">
        <v>0</v>
      </c>
    </row>
    <row r="337" spans="1:8" x14ac:dyDescent="0.2">
      <c r="A337" s="1" t="s">
        <v>129</v>
      </c>
      <c r="C337" s="2">
        <f>C336</f>
        <v>850000</v>
      </c>
      <c r="D337" s="2">
        <f>C337</f>
        <v>850000</v>
      </c>
      <c r="E337" s="2">
        <f>D337</f>
        <v>850000</v>
      </c>
      <c r="F337" s="2">
        <f>E337</f>
        <v>850000</v>
      </c>
      <c r="G337" s="2">
        <f>F337</f>
        <v>850000</v>
      </c>
      <c r="H337" s="2">
        <v>0</v>
      </c>
    </row>
    <row r="338" spans="1:8" x14ac:dyDescent="0.2">
      <c r="A338" s="1" t="s">
        <v>136</v>
      </c>
      <c r="C338" s="18">
        <f>C336-C337</f>
        <v>0</v>
      </c>
      <c r="D338" s="12">
        <f>D336-D337</f>
        <v>-50000</v>
      </c>
      <c r="E338" s="12">
        <f>E336-E337</f>
        <v>-10000</v>
      </c>
      <c r="F338" s="12">
        <f>F336-F337</f>
        <v>250000</v>
      </c>
      <c r="G338" s="12">
        <f>G336-G337</f>
        <v>70000</v>
      </c>
      <c r="H338" s="12">
        <v>0</v>
      </c>
    </row>
    <row r="339" spans="1:8" x14ac:dyDescent="0.2">
      <c r="A339" s="1" t="s">
        <v>130</v>
      </c>
      <c r="C339" s="13">
        <v>0.23</v>
      </c>
      <c r="D339" s="13">
        <f>C339</f>
        <v>0.23</v>
      </c>
      <c r="E339" s="13">
        <f>D339</f>
        <v>0.23</v>
      </c>
      <c r="F339" s="13">
        <f>E339</f>
        <v>0.23</v>
      </c>
      <c r="G339" s="13">
        <f>F339</f>
        <v>0.23</v>
      </c>
      <c r="H339" s="13">
        <f>G339</f>
        <v>0.23</v>
      </c>
    </row>
    <row r="340" spans="1:8" x14ac:dyDescent="0.2">
      <c r="A340" s="1" t="s">
        <v>137</v>
      </c>
      <c r="C340" s="12">
        <f>-C339*C338</f>
        <v>0</v>
      </c>
      <c r="D340" s="12">
        <f t="shared" ref="D340:G340" si="7">-D339*D338</f>
        <v>11500</v>
      </c>
      <c r="E340" s="12">
        <f t="shared" si="7"/>
        <v>2300</v>
      </c>
      <c r="F340" s="12">
        <f t="shared" si="7"/>
        <v>-57500</v>
      </c>
      <c r="G340" s="12">
        <f t="shared" si="7"/>
        <v>-16100</v>
      </c>
      <c r="H340" s="12">
        <v>0</v>
      </c>
    </row>
    <row r="342" spans="1:8" x14ac:dyDescent="0.2">
      <c r="A342" s="1" t="s">
        <v>193</v>
      </c>
    </row>
    <row r="344" spans="1:8" x14ac:dyDescent="0.2">
      <c r="A344" s="1" t="s">
        <v>194</v>
      </c>
      <c r="B344" s="1" t="s">
        <v>195</v>
      </c>
      <c r="E344" s="1" t="s">
        <v>199</v>
      </c>
    </row>
    <row r="345" spans="1:8" x14ac:dyDescent="0.2">
      <c r="A345" s="1">
        <v>2024</v>
      </c>
      <c r="B345" s="1" t="s">
        <v>204</v>
      </c>
      <c r="E345" s="10">
        <f>C340-D340</f>
        <v>-11500</v>
      </c>
    </row>
    <row r="346" spans="1:8" x14ac:dyDescent="0.2">
      <c r="A346" s="1">
        <v>2025</v>
      </c>
      <c r="B346" s="1" t="s">
        <v>196</v>
      </c>
      <c r="E346" s="10">
        <f>D340-E340</f>
        <v>9200</v>
      </c>
    </row>
    <row r="347" spans="1:8" x14ac:dyDescent="0.2">
      <c r="A347" s="1">
        <v>2026</v>
      </c>
      <c r="B347" s="1" t="s">
        <v>205</v>
      </c>
      <c r="E347" s="10">
        <f>E340-F340</f>
        <v>59800</v>
      </c>
    </row>
    <row r="348" spans="1:8" x14ac:dyDescent="0.2">
      <c r="A348" s="1">
        <v>2027</v>
      </c>
      <c r="B348" s="1" t="s">
        <v>204</v>
      </c>
      <c r="E348" s="10">
        <f>F340-G340</f>
        <v>-41400</v>
      </c>
    </row>
    <row r="349" spans="1:8" x14ac:dyDescent="0.2">
      <c r="A349" s="1">
        <v>2028</v>
      </c>
      <c r="B349" s="1" t="s">
        <v>197</v>
      </c>
      <c r="E349" s="10">
        <f>G340-H340</f>
        <v>-16100</v>
      </c>
    </row>
    <row r="350" spans="1:8" x14ac:dyDescent="0.2">
      <c r="B350" s="1" t="s">
        <v>198</v>
      </c>
      <c r="E350" s="10">
        <f>SUM(E345:E349)</f>
        <v>0</v>
      </c>
    </row>
    <row r="352" spans="1:8" x14ac:dyDescent="0.2">
      <c r="B352" s="1" t="s">
        <v>200</v>
      </c>
    </row>
  </sheetData>
  <mergeCells count="5">
    <mergeCell ref="C268:G268"/>
    <mergeCell ref="C269:G269"/>
    <mergeCell ref="C270:G270"/>
    <mergeCell ref="C271:G271"/>
    <mergeCell ref="C272:G272"/>
  </mergeCells>
  <pageMargins left="0.7" right="0.7" top="0.75" bottom="0.75" header="0.3" footer="0.3"/>
  <pageSetup paperSize="9" orientation="portrait" horizontalDpi="0" verticalDpi="0"/>
  <ignoredErrors>
    <ignoredError sqref="D299:G299" formula="1"/>
  </ignoredErrors>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BEE70-2ED9-3041-A420-7D3A5D3BB2F0}">
  <dimension ref="A1:Y849"/>
  <sheetViews>
    <sheetView rightToLeft="1" zoomScale="306" zoomScaleNormal="400" workbookViewId="0">
      <selection activeCell="K607" sqref="K607:L607"/>
    </sheetView>
  </sheetViews>
  <sheetFormatPr baseColWidth="10" defaultRowHeight="16" x14ac:dyDescent="0.2"/>
  <cols>
    <col min="1" max="16384" width="10.83203125" style="1"/>
  </cols>
  <sheetData>
    <row r="1" spans="1:8" x14ac:dyDescent="0.2">
      <c r="A1" s="6" t="s">
        <v>2450</v>
      </c>
      <c r="B1" s="6"/>
      <c r="C1" s="6"/>
      <c r="D1" s="6"/>
      <c r="E1" s="6"/>
      <c r="F1" s="6"/>
      <c r="G1" s="34">
        <v>45609</v>
      </c>
      <c r="H1" s="6" t="s">
        <v>7</v>
      </c>
    </row>
    <row r="2" spans="1:8" ht="17" thickBot="1" x14ac:dyDescent="0.25">
      <c r="G2" s="7">
        <v>45616</v>
      </c>
    </row>
    <row r="3" spans="1:8" x14ac:dyDescent="0.2">
      <c r="A3" s="22" t="s">
        <v>207</v>
      </c>
      <c r="B3" s="23"/>
      <c r="C3" s="23"/>
      <c r="D3" s="23"/>
      <c r="E3" s="23"/>
      <c r="F3" s="23"/>
      <c r="G3" s="23"/>
      <c r="H3" s="35"/>
    </row>
    <row r="4" spans="1:8" x14ac:dyDescent="0.2">
      <c r="A4" s="26" t="s">
        <v>208</v>
      </c>
      <c r="H4" s="36"/>
    </row>
    <row r="5" spans="1:8" x14ac:dyDescent="0.2">
      <c r="A5" s="26" t="s">
        <v>209</v>
      </c>
      <c r="H5" s="36"/>
    </row>
    <row r="6" spans="1:8" ht="17" thickBot="1" x14ac:dyDescent="0.25">
      <c r="A6" s="28" t="s">
        <v>254</v>
      </c>
      <c r="B6" s="29"/>
      <c r="C6" s="29"/>
      <c r="D6" s="29"/>
      <c r="E6" s="29"/>
      <c r="F6" s="29"/>
      <c r="G6" s="29"/>
      <c r="H6" s="37"/>
    </row>
    <row r="8" spans="1:8" x14ac:dyDescent="0.2">
      <c r="A8" s="32" t="s">
        <v>253</v>
      </c>
      <c r="B8" s="32"/>
      <c r="C8" s="32"/>
      <c r="D8" s="32"/>
      <c r="E8" s="32"/>
      <c r="F8" s="32"/>
      <c r="G8" s="32"/>
      <c r="H8" s="32"/>
    </row>
    <row r="9" spans="1:8" x14ac:dyDescent="0.2">
      <c r="A9" s="1" t="s">
        <v>2414</v>
      </c>
      <c r="B9" s="3"/>
      <c r="C9" s="3"/>
      <c r="D9" s="3"/>
      <c r="E9" s="3"/>
      <c r="F9" s="3"/>
      <c r="G9" s="3"/>
      <c r="H9" s="3"/>
    </row>
    <row r="10" spans="1:8" x14ac:dyDescent="0.2">
      <c r="A10" s="3"/>
      <c r="B10" s="3"/>
      <c r="C10" s="3"/>
      <c r="D10" s="3"/>
      <c r="E10" s="3"/>
      <c r="F10" s="3"/>
      <c r="G10" s="3"/>
      <c r="H10" s="3"/>
    </row>
    <row r="11" spans="1:8" x14ac:dyDescent="0.2">
      <c r="A11" s="226" t="s">
        <v>214</v>
      </c>
      <c r="B11" s="227"/>
      <c r="C11" s="227"/>
      <c r="D11" s="227"/>
      <c r="E11" s="227"/>
      <c r="F11" s="227"/>
      <c r="G11" s="227"/>
      <c r="H11" s="227"/>
    </row>
    <row r="12" spans="1:8" x14ac:dyDescent="0.2">
      <c r="A12" s="227" t="s">
        <v>210</v>
      </c>
      <c r="B12" s="227"/>
      <c r="C12" s="227"/>
      <c r="D12" s="227"/>
      <c r="E12" s="227"/>
      <c r="F12" s="227"/>
      <c r="G12" s="227"/>
      <c r="H12" s="227"/>
    </row>
    <row r="13" spans="1:8" x14ac:dyDescent="0.2">
      <c r="A13" s="227" t="s">
        <v>211</v>
      </c>
      <c r="B13" s="227"/>
      <c r="C13" s="227"/>
      <c r="D13" s="227"/>
      <c r="E13" s="227"/>
      <c r="F13" s="227"/>
      <c r="G13" s="227"/>
      <c r="H13" s="227"/>
    </row>
    <row r="14" spans="1:8" x14ac:dyDescent="0.2">
      <c r="A14" s="227" t="s">
        <v>212</v>
      </c>
      <c r="B14" s="227"/>
      <c r="C14" s="227"/>
      <c r="D14" s="227"/>
      <c r="E14" s="227"/>
      <c r="F14" s="227"/>
      <c r="G14" s="227"/>
      <c r="H14" s="227"/>
    </row>
    <row r="15" spans="1:8" x14ac:dyDescent="0.2">
      <c r="A15" s="227" t="s">
        <v>213</v>
      </c>
      <c r="B15" s="227"/>
      <c r="C15" s="227"/>
      <c r="D15" s="227"/>
      <c r="E15" s="227"/>
      <c r="F15" s="227"/>
      <c r="G15" s="227"/>
      <c r="H15" s="227"/>
    </row>
    <row r="16" spans="1:8" x14ac:dyDescent="0.2">
      <c r="A16" s="227"/>
      <c r="B16" s="227"/>
      <c r="C16" s="227"/>
      <c r="D16" s="227"/>
      <c r="E16" s="227"/>
      <c r="F16" s="227"/>
      <c r="G16" s="227"/>
      <c r="H16" s="227"/>
    </row>
    <row r="17" spans="1:8" x14ac:dyDescent="0.2">
      <c r="A17" s="226" t="s">
        <v>215</v>
      </c>
      <c r="B17" s="227"/>
      <c r="C17" s="227"/>
      <c r="D17" s="227"/>
      <c r="E17" s="227"/>
      <c r="F17" s="227"/>
      <c r="G17" s="227"/>
      <c r="H17" s="227"/>
    </row>
    <row r="18" spans="1:8" x14ac:dyDescent="0.2">
      <c r="A18" s="227" t="s">
        <v>216</v>
      </c>
      <c r="B18" s="227"/>
      <c r="C18" s="227"/>
      <c r="D18" s="227"/>
      <c r="E18" s="227"/>
      <c r="F18" s="227"/>
      <c r="G18" s="227"/>
      <c r="H18" s="227"/>
    </row>
    <row r="19" spans="1:8" x14ac:dyDescent="0.2">
      <c r="A19" s="227" t="s">
        <v>217</v>
      </c>
      <c r="B19" s="227"/>
      <c r="C19" s="227"/>
      <c r="D19" s="227"/>
      <c r="E19" s="227"/>
      <c r="F19" s="227"/>
      <c r="G19" s="227"/>
      <c r="H19" s="227"/>
    </row>
    <row r="20" spans="1:8" x14ac:dyDescent="0.2">
      <c r="A20" s="227"/>
      <c r="B20" s="227"/>
      <c r="C20" s="227"/>
      <c r="D20" s="227"/>
      <c r="E20" s="227"/>
      <c r="F20" s="227"/>
      <c r="G20" s="227"/>
      <c r="H20" s="227"/>
    </row>
    <row r="21" spans="1:8" x14ac:dyDescent="0.2">
      <c r="A21" s="226" t="s">
        <v>218</v>
      </c>
      <c r="B21" s="227"/>
      <c r="C21" s="227"/>
      <c r="D21" s="227"/>
      <c r="E21" s="227"/>
      <c r="F21" s="227"/>
      <c r="G21" s="227"/>
      <c r="H21" s="227"/>
    </row>
    <row r="22" spans="1:8" x14ac:dyDescent="0.2">
      <c r="A22" s="227" t="s">
        <v>219</v>
      </c>
      <c r="B22" s="227"/>
      <c r="C22" s="227"/>
      <c r="D22" s="227"/>
      <c r="E22" s="227"/>
      <c r="F22" s="227"/>
      <c r="G22" s="227"/>
      <c r="H22" s="227"/>
    </row>
    <row r="23" spans="1:8" x14ac:dyDescent="0.2">
      <c r="A23" s="227" t="s">
        <v>211</v>
      </c>
      <c r="B23" s="227"/>
      <c r="C23" s="227"/>
      <c r="D23" s="227"/>
      <c r="E23" s="227"/>
      <c r="F23" s="227"/>
      <c r="G23" s="227"/>
      <c r="H23" s="227"/>
    </row>
    <row r="24" spans="1:8" x14ac:dyDescent="0.2">
      <c r="A24" s="227" t="s">
        <v>220</v>
      </c>
      <c r="B24" s="227"/>
      <c r="C24" s="227"/>
      <c r="D24" s="227"/>
      <c r="E24" s="227"/>
      <c r="F24" s="227"/>
      <c r="G24" s="227"/>
      <c r="H24" s="227"/>
    </row>
    <row r="25" spans="1:8" x14ac:dyDescent="0.2">
      <c r="A25" s="227" t="s">
        <v>221</v>
      </c>
      <c r="B25" s="227"/>
      <c r="C25" s="227"/>
      <c r="D25" s="227"/>
      <c r="E25" s="227"/>
      <c r="F25" s="227"/>
      <c r="G25" s="227"/>
      <c r="H25" s="227"/>
    </row>
    <row r="26" spans="1:8" x14ac:dyDescent="0.2">
      <c r="A26" s="227" t="s">
        <v>222</v>
      </c>
      <c r="B26" s="227"/>
      <c r="C26" s="227"/>
      <c r="D26" s="227"/>
      <c r="E26" s="227"/>
      <c r="F26" s="227"/>
      <c r="G26" s="227"/>
      <c r="H26" s="227"/>
    </row>
    <row r="27" spans="1:8" x14ac:dyDescent="0.2">
      <c r="A27" s="227"/>
      <c r="B27" s="227"/>
      <c r="C27" s="227"/>
      <c r="D27" s="227"/>
      <c r="E27" s="227"/>
      <c r="F27" s="227"/>
      <c r="G27" s="227"/>
      <c r="H27" s="227"/>
    </row>
    <row r="28" spans="1:8" x14ac:dyDescent="0.2">
      <c r="A28" s="226" t="s">
        <v>223</v>
      </c>
      <c r="B28" s="227"/>
      <c r="C28" s="227"/>
      <c r="D28" s="227"/>
      <c r="E28" s="227"/>
      <c r="F28" s="227"/>
      <c r="G28" s="227"/>
      <c r="H28" s="227"/>
    </row>
    <row r="29" spans="1:8" x14ac:dyDescent="0.2">
      <c r="A29" s="227" t="s">
        <v>224</v>
      </c>
      <c r="B29" s="227"/>
      <c r="C29" s="227"/>
      <c r="D29" s="227"/>
      <c r="E29" s="227"/>
      <c r="F29" s="227"/>
      <c r="G29" s="227"/>
      <c r="H29" s="227"/>
    </row>
    <row r="30" spans="1:8" x14ac:dyDescent="0.2">
      <c r="A30" s="227" t="s">
        <v>225</v>
      </c>
      <c r="B30" s="227"/>
      <c r="C30" s="227"/>
      <c r="D30" s="227"/>
      <c r="E30" s="227"/>
      <c r="F30" s="227"/>
      <c r="G30" s="227"/>
      <c r="H30" s="227"/>
    </row>
    <row r="31" spans="1:8" x14ac:dyDescent="0.2">
      <c r="A31" s="227"/>
      <c r="B31" s="227"/>
      <c r="C31" s="227"/>
      <c r="D31" s="227"/>
      <c r="E31" s="227"/>
      <c r="F31" s="227"/>
      <c r="G31" s="227"/>
      <c r="H31" s="227"/>
    </row>
    <row r="32" spans="1:8" x14ac:dyDescent="0.2">
      <c r="A32" s="226" t="s">
        <v>226</v>
      </c>
      <c r="B32" s="227"/>
      <c r="C32" s="227"/>
      <c r="D32" s="227"/>
      <c r="E32" s="227"/>
      <c r="F32" s="227"/>
      <c r="G32" s="227"/>
      <c r="H32" s="227"/>
    </row>
    <row r="33" spans="1:8" x14ac:dyDescent="0.2">
      <c r="A33" s="227" t="s">
        <v>227</v>
      </c>
      <c r="B33" s="227"/>
      <c r="C33" s="227"/>
      <c r="D33" s="227"/>
      <c r="E33" s="227"/>
      <c r="F33" s="227"/>
      <c r="G33" s="227"/>
      <c r="H33" s="227"/>
    </row>
    <row r="34" spans="1:8" x14ac:dyDescent="0.2">
      <c r="A34" s="227" t="s">
        <v>228</v>
      </c>
      <c r="B34" s="227"/>
      <c r="C34" s="227"/>
      <c r="D34" s="227"/>
      <c r="E34" s="227"/>
      <c r="F34" s="227"/>
      <c r="G34" s="227"/>
      <c r="H34" s="227"/>
    </row>
    <row r="35" spans="1:8" x14ac:dyDescent="0.2">
      <c r="A35" s="227" t="s">
        <v>229</v>
      </c>
      <c r="B35" s="227"/>
      <c r="C35" s="227"/>
      <c r="D35" s="227"/>
      <c r="E35" s="227"/>
      <c r="F35" s="227"/>
      <c r="G35" s="227"/>
      <c r="H35" s="227"/>
    </row>
    <row r="36" spans="1:8" x14ac:dyDescent="0.2">
      <c r="A36" s="227" t="s">
        <v>230</v>
      </c>
      <c r="B36" s="227"/>
      <c r="C36" s="227"/>
      <c r="D36" s="227"/>
      <c r="E36" s="227"/>
      <c r="F36" s="227"/>
      <c r="G36" s="227"/>
      <c r="H36" s="227"/>
    </row>
    <row r="37" spans="1:8" x14ac:dyDescent="0.2">
      <c r="A37" s="227" t="s">
        <v>231</v>
      </c>
      <c r="B37" s="227"/>
      <c r="C37" s="227"/>
      <c r="D37" s="227"/>
      <c r="E37" s="227"/>
      <c r="F37" s="227"/>
      <c r="G37" s="227"/>
      <c r="H37" s="227"/>
    </row>
    <row r="38" spans="1:8" x14ac:dyDescent="0.2">
      <c r="A38" s="227"/>
      <c r="B38" s="227"/>
      <c r="C38" s="227"/>
      <c r="D38" s="227"/>
      <c r="E38" s="227"/>
      <c r="F38" s="227"/>
      <c r="G38" s="227"/>
      <c r="H38" s="227"/>
    </row>
    <row r="39" spans="1:8" x14ac:dyDescent="0.2">
      <c r="A39" s="226" t="s">
        <v>232</v>
      </c>
      <c r="B39" s="227"/>
      <c r="C39" s="227"/>
      <c r="D39" s="227"/>
      <c r="E39" s="227"/>
      <c r="F39" s="227"/>
      <c r="G39" s="227"/>
      <c r="H39" s="227"/>
    </row>
    <row r="40" spans="1:8" x14ac:dyDescent="0.2">
      <c r="A40" s="227" t="s">
        <v>233</v>
      </c>
      <c r="B40" s="227"/>
      <c r="C40" s="227"/>
      <c r="D40" s="227"/>
      <c r="E40" s="227"/>
      <c r="F40" s="227"/>
      <c r="G40" s="227"/>
      <c r="H40" s="227"/>
    </row>
    <row r="41" spans="1:8" x14ac:dyDescent="0.2">
      <c r="A41" s="227" t="s">
        <v>234</v>
      </c>
      <c r="B41" s="227"/>
      <c r="C41" s="227"/>
      <c r="D41" s="227"/>
      <c r="E41" s="227"/>
      <c r="F41" s="227"/>
      <c r="G41" s="227"/>
      <c r="H41" s="227"/>
    </row>
    <row r="42" spans="1:8" x14ac:dyDescent="0.2">
      <c r="A42" s="227" t="s">
        <v>235</v>
      </c>
      <c r="B42" s="227"/>
      <c r="C42" s="227"/>
      <c r="D42" s="227"/>
      <c r="E42" s="227"/>
      <c r="F42" s="227"/>
      <c r="G42" s="227"/>
      <c r="H42" s="227"/>
    </row>
    <row r="43" spans="1:8" x14ac:dyDescent="0.2">
      <c r="A43" s="227"/>
      <c r="B43" s="227"/>
      <c r="C43" s="227"/>
      <c r="D43" s="227"/>
      <c r="E43" s="227"/>
      <c r="F43" s="227"/>
      <c r="G43" s="227"/>
      <c r="H43" s="227"/>
    </row>
    <row r="44" spans="1:8" x14ac:dyDescent="0.2">
      <c r="A44" s="226" t="s">
        <v>236</v>
      </c>
      <c r="B44" s="227"/>
      <c r="C44" s="227"/>
      <c r="D44" s="227"/>
      <c r="E44" s="227"/>
      <c r="F44" s="227"/>
      <c r="G44" s="227"/>
      <c r="H44" s="227"/>
    </row>
    <row r="45" spans="1:8" x14ac:dyDescent="0.2">
      <c r="A45" s="227" t="s">
        <v>237</v>
      </c>
      <c r="B45" s="227"/>
      <c r="C45" s="227"/>
      <c r="D45" s="227"/>
      <c r="E45" s="227"/>
      <c r="F45" s="227"/>
      <c r="G45" s="227"/>
      <c r="H45" s="227"/>
    </row>
    <row r="46" spans="1:8" x14ac:dyDescent="0.2">
      <c r="A46" s="227" t="s">
        <v>238</v>
      </c>
      <c r="B46" s="227"/>
      <c r="C46" s="227"/>
      <c r="D46" s="227"/>
      <c r="E46" s="227"/>
      <c r="F46" s="227"/>
      <c r="G46" s="227"/>
      <c r="H46" s="227"/>
    </row>
    <row r="47" spans="1:8" x14ac:dyDescent="0.2">
      <c r="A47" s="227" t="s">
        <v>239</v>
      </c>
      <c r="B47" s="227"/>
      <c r="C47" s="227"/>
      <c r="D47" s="227"/>
      <c r="E47" s="227"/>
      <c r="F47" s="227"/>
      <c r="G47" s="227"/>
      <c r="H47" s="227"/>
    </row>
    <row r="48" spans="1:8" x14ac:dyDescent="0.2">
      <c r="A48" s="227"/>
      <c r="B48" s="227"/>
      <c r="C48" s="227"/>
      <c r="D48" s="227"/>
      <c r="E48" s="227"/>
      <c r="F48" s="227"/>
      <c r="G48" s="227"/>
      <c r="H48" s="227"/>
    </row>
    <row r="49" spans="1:8" x14ac:dyDescent="0.2">
      <c r="A49" s="226" t="s">
        <v>240</v>
      </c>
      <c r="B49" s="227"/>
      <c r="C49" s="227"/>
      <c r="D49" s="227"/>
      <c r="E49" s="227"/>
      <c r="F49" s="227"/>
      <c r="G49" s="227"/>
      <c r="H49" s="227"/>
    </row>
    <row r="50" spans="1:8" x14ac:dyDescent="0.2">
      <c r="A50" s="227" t="s">
        <v>241</v>
      </c>
      <c r="B50" s="227"/>
      <c r="C50" s="227"/>
      <c r="D50" s="227"/>
      <c r="E50" s="227"/>
      <c r="F50" s="227"/>
      <c r="G50" s="227"/>
      <c r="H50" s="227"/>
    </row>
    <row r="51" spans="1:8" x14ac:dyDescent="0.2">
      <c r="A51" s="227" t="s">
        <v>242</v>
      </c>
      <c r="B51" s="227"/>
      <c r="C51" s="227"/>
      <c r="D51" s="227"/>
      <c r="E51" s="227"/>
      <c r="F51" s="227"/>
      <c r="G51" s="227"/>
      <c r="H51" s="227"/>
    </row>
    <row r="52" spans="1:8" x14ac:dyDescent="0.2">
      <c r="A52" s="227"/>
      <c r="B52" s="227"/>
      <c r="C52" s="227"/>
      <c r="D52" s="227"/>
      <c r="E52" s="227"/>
      <c r="F52" s="227"/>
      <c r="G52" s="227"/>
      <c r="H52" s="227"/>
    </row>
    <row r="53" spans="1:8" x14ac:dyDescent="0.2">
      <c r="A53" s="226" t="s">
        <v>243</v>
      </c>
      <c r="B53" s="227"/>
      <c r="C53" s="227"/>
      <c r="D53" s="227"/>
      <c r="E53" s="227"/>
      <c r="F53" s="227"/>
      <c r="G53" s="227"/>
      <c r="H53" s="227"/>
    </row>
    <row r="54" spans="1:8" x14ac:dyDescent="0.2">
      <c r="A54" s="227" t="s">
        <v>244</v>
      </c>
      <c r="B54" s="227"/>
      <c r="C54" s="227"/>
      <c r="D54" s="227"/>
      <c r="E54" s="227"/>
      <c r="F54" s="227"/>
      <c r="G54" s="227"/>
      <c r="H54" s="227"/>
    </row>
    <row r="55" spans="1:8" x14ac:dyDescent="0.2">
      <c r="A55" s="227" t="s">
        <v>245</v>
      </c>
      <c r="B55" s="227"/>
      <c r="C55" s="227"/>
      <c r="D55" s="227"/>
      <c r="E55" s="227"/>
      <c r="F55" s="227"/>
      <c r="G55" s="227"/>
      <c r="H55" s="227"/>
    </row>
    <row r="56" spans="1:8" x14ac:dyDescent="0.2">
      <c r="A56" s="227"/>
      <c r="B56" s="227"/>
      <c r="C56" s="227"/>
      <c r="D56" s="227"/>
      <c r="E56" s="227"/>
      <c r="F56" s="227"/>
      <c r="G56" s="227"/>
      <c r="H56" s="227"/>
    </row>
    <row r="57" spans="1:8" x14ac:dyDescent="0.2">
      <c r="A57" s="226" t="s">
        <v>246</v>
      </c>
      <c r="B57" s="227"/>
      <c r="C57" s="227"/>
      <c r="D57" s="227"/>
      <c r="E57" s="227"/>
      <c r="F57" s="227"/>
      <c r="G57" s="227"/>
      <c r="H57" s="227"/>
    </row>
    <row r="58" spans="1:8" x14ac:dyDescent="0.2">
      <c r="A58" s="227" t="s">
        <v>247</v>
      </c>
      <c r="B58" s="227"/>
      <c r="C58" s="227"/>
      <c r="D58" s="227"/>
      <c r="E58" s="227"/>
      <c r="F58" s="227"/>
      <c r="G58" s="227"/>
      <c r="H58" s="227"/>
    </row>
    <row r="59" spans="1:8" x14ac:dyDescent="0.2">
      <c r="A59" s="227" t="s">
        <v>248</v>
      </c>
      <c r="B59" s="227"/>
      <c r="C59" s="227"/>
      <c r="D59" s="227"/>
      <c r="E59" s="227"/>
      <c r="F59" s="227"/>
      <c r="G59" s="227"/>
      <c r="H59" s="227"/>
    </row>
    <row r="60" spans="1:8" x14ac:dyDescent="0.2">
      <c r="A60" s="227" t="s">
        <v>249</v>
      </c>
      <c r="B60" s="227"/>
      <c r="C60" s="227"/>
      <c r="D60" s="227"/>
      <c r="E60" s="227"/>
      <c r="F60" s="227"/>
      <c r="G60" s="227"/>
      <c r="H60" s="227"/>
    </row>
    <row r="61" spans="1:8" x14ac:dyDescent="0.2">
      <c r="A61" s="227" t="s">
        <v>250</v>
      </c>
      <c r="B61" s="227"/>
      <c r="C61" s="227"/>
      <c r="D61" s="227"/>
      <c r="E61" s="227"/>
      <c r="F61" s="227"/>
      <c r="G61" s="227"/>
      <c r="H61" s="227"/>
    </row>
    <row r="62" spans="1:8" x14ac:dyDescent="0.2">
      <c r="A62" s="227"/>
      <c r="B62" s="227"/>
      <c r="C62" s="227"/>
      <c r="D62" s="227"/>
      <c r="E62" s="227"/>
      <c r="F62" s="227"/>
      <c r="G62" s="227"/>
      <c r="H62" s="227"/>
    </row>
    <row r="63" spans="1:8" x14ac:dyDescent="0.2">
      <c r="A63" s="226" t="s">
        <v>251</v>
      </c>
      <c r="B63" s="227"/>
      <c r="C63" s="227"/>
      <c r="D63" s="227"/>
      <c r="E63" s="227"/>
      <c r="F63" s="227"/>
      <c r="G63" s="227"/>
      <c r="H63" s="227"/>
    </row>
    <row r="64" spans="1:8" x14ac:dyDescent="0.2">
      <c r="A64" s="226" t="s">
        <v>252</v>
      </c>
      <c r="B64" s="227"/>
      <c r="C64" s="227"/>
      <c r="D64" s="227"/>
      <c r="E64" s="227"/>
      <c r="F64" s="227"/>
      <c r="G64" s="227"/>
      <c r="H64" s="227"/>
    </row>
    <row r="68" spans="1:8" x14ac:dyDescent="0.2">
      <c r="A68" s="48" t="s">
        <v>411</v>
      </c>
      <c r="B68" s="38"/>
      <c r="C68" s="38"/>
      <c r="D68" s="38"/>
      <c r="E68" s="38"/>
      <c r="F68" s="38"/>
      <c r="G68" s="38"/>
      <c r="H68" s="38"/>
    </row>
    <row r="70" spans="1:8" x14ac:dyDescent="0.2">
      <c r="A70" s="1" t="s">
        <v>255</v>
      </c>
    </row>
    <row r="71" spans="1:8" x14ac:dyDescent="0.2">
      <c r="A71" s="1" t="s">
        <v>256</v>
      </c>
    </row>
    <row r="72" spans="1:8" x14ac:dyDescent="0.2">
      <c r="A72" s="1" t="s">
        <v>257</v>
      </c>
    </row>
    <row r="73" spans="1:8" x14ac:dyDescent="0.2">
      <c r="A73" s="1" t="s">
        <v>258</v>
      </c>
    </row>
    <row r="75" spans="1:8" x14ac:dyDescent="0.2">
      <c r="A75" s="1" t="s">
        <v>259</v>
      </c>
    </row>
    <row r="76" spans="1:8" x14ac:dyDescent="0.2">
      <c r="A76" s="1" t="s">
        <v>260</v>
      </c>
    </row>
    <row r="77" spans="1:8" ht="17" thickBot="1" x14ac:dyDescent="0.25"/>
    <row r="78" spans="1:8" x14ac:dyDescent="0.2">
      <c r="A78" s="22" t="s">
        <v>214</v>
      </c>
      <c r="B78" s="23"/>
      <c r="C78" s="23"/>
      <c r="D78" s="23"/>
      <c r="E78" s="23"/>
      <c r="F78" s="23"/>
      <c r="G78" s="23"/>
      <c r="H78" s="35"/>
    </row>
    <row r="79" spans="1:8" x14ac:dyDescent="0.2">
      <c r="A79" s="26" t="s">
        <v>210</v>
      </c>
      <c r="H79" s="36"/>
    </row>
    <row r="80" spans="1:8" x14ac:dyDescent="0.2">
      <c r="A80" s="26" t="s">
        <v>211</v>
      </c>
      <c r="H80" s="36"/>
    </row>
    <row r="81" spans="1:8" x14ac:dyDescent="0.2">
      <c r="A81" s="26" t="s">
        <v>212</v>
      </c>
      <c r="H81" s="36"/>
    </row>
    <row r="82" spans="1:8" ht="17" thickBot="1" x14ac:dyDescent="0.25">
      <c r="A82" s="28" t="s">
        <v>213</v>
      </c>
      <c r="B82" s="29"/>
      <c r="C82" s="29"/>
      <c r="D82" s="29"/>
      <c r="E82" s="29"/>
      <c r="F82" s="29"/>
      <c r="G82" s="29"/>
      <c r="H82" s="37"/>
    </row>
    <row r="84" spans="1:8" x14ac:dyDescent="0.2">
      <c r="A84" s="96" t="s">
        <v>2415</v>
      </c>
    </row>
    <row r="85" spans="1:8" x14ac:dyDescent="0.2">
      <c r="A85" s="96" t="s">
        <v>2416</v>
      </c>
    </row>
    <row r="86" spans="1:8" x14ac:dyDescent="0.2">
      <c r="A86" s="96" t="s">
        <v>2417</v>
      </c>
    </row>
    <row r="87" spans="1:8" x14ac:dyDescent="0.2">
      <c r="A87" s="96" t="s">
        <v>2418</v>
      </c>
    </row>
    <row r="89" spans="1:8" s="96" customFormat="1" x14ac:dyDescent="0.2"/>
    <row r="90" spans="1:8" s="96" customFormat="1" x14ac:dyDescent="0.2"/>
    <row r="91" spans="1:8" s="96" customFormat="1" x14ac:dyDescent="0.2"/>
    <row r="92" spans="1:8" s="96" customFormat="1" x14ac:dyDescent="0.2">
      <c r="A92" s="96" t="s">
        <v>270</v>
      </c>
    </row>
    <row r="93" spans="1:8" s="96" customFormat="1" x14ac:dyDescent="0.2">
      <c r="A93" s="96" t="s">
        <v>271</v>
      </c>
    </row>
    <row r="94" spans="1:8" s="96" customFormat="1" x14ac:dyDescent="0.2">
      <c r="A94" s="96" t="s">
        <v>272</v>
      </c>
    </row>
    <row r="95" spans="1:8" s="96" customFormat="1" x14ac:dyDescent="0.2">
      <c r="A95" s="96" t="s">
        <v>273</v>
      </c>
    </row>
    <row r="96" spans="1:8" s="96" customFormat="1" x14ac:dyDescent="0.2">
      <c r="A96" s="96" t="s">
        <v>2419</v>
      </c>
    </row>
    <row r="97" spans="1:9" s="96" customFormat="1" x14ac:dyDescent="0.2"/>
    <row r="98" spans="1:9" s="96" customFormat="1" x14ac:dyDescent="0.2">
      <c r="E98" s="245">
        <v>41274</v>
      </c>
      <c r="F98" s="246"/>
      <c r="G98" s="245">
        <v>41639</v>
      </c>
    </row>
    <row r="99" spans="1:9" x14ac:dyDescent="0.2">
      <c r="A99" s="96"/>
      <c r="B99" s="96" t="s">
        <v>57</v>
      </c>
      <c r="C99" s="96"/>
      <c r="D99" s="96"/>
      <c r="E99" s="169">
        <f>1000000-(1000000-500000)/20*(5+3/12)</f>
        <v>868750</v>
      </c>
      <c r="F99" s="196"/>
      <c r="G99" s="169">
        <f>1000000-(1000000-500000)/20*(6+3/12)</f>
        <v>843750</v>
      </c>
    </row>
    <row r="100" spans="1:9" s="96" customFormat="1" x14ac:dyDescent="0.2">
      <c r="B100" s="96" t="s">
        <v>56</v>
      </c>
      <c r="E100" s="169">
        <f>1000000-(1000000-500000)/25*(5+3/12)</f>
        <v>895000</v>
      </c>
      <c r="F100" s="169"/>
      <c r="G100" s="169">
        <f>1000000-(1000000-500000)/25*(6+3/12)</f>
        <v>875000</v>
      </c>
    </row>
    <row r="101" spans="1:9" x14ac:dyDescent="0.2">
      <c r="A101" s="93"/>
      <c r="B101" s="96" t="s">
        <v>269</v>
      </c>
      <c r="C101" s="96"/>
      <c r="D101" s="96"/>
      <c r="E101" s="210">
        <f>E99-E100</f>
        <v>-26250</v>
      </c>
      <c r="F101" s="196"/>
      <c r="G101" s="210">
        <f>G99-G100</f>
        <v>-31250</v>
      </c>
      <c r="I101" s="10"/>
    </row>
    <row r="102" spans="1:9" x14ac:dyDescent="0.2">
      <c r="A102" s="93"/>
      <c r="B102" s="96" t="s">
        <v>274</v>
      </c>
      <c r="C102" s="96"/>
      <c r="D102" s="96"/>
      <c r="E102" s="172">
        <v>0.4</v>
      </c>
      <c r="F102" s="165"/>
      <c r="G102" s="172">
        <v>0.31</v>
      </c>
    </row>
    <row r="103" spans="1:9" s="96" customFormat="1" x14ac:dyDescent="0.2">
      <c r="B103" s="96" t="s">
        <v>289</v>
      </c>
      <c r="E103" s="210">
        <f>-E102*E101</f>
        <v>10500</v>
      </c>
      <c r="F103" s="165"/>
      <c r="G103" s="210">
        <f>-G102*G101</f>
        <v>9687.5</v>
      </c>
    </row>
    <row r="106" spans="1:9" x14ac:dyDescent="0.2">
      <c r="A106" s="3" t="s">
        <v>307</v>
      </c>
    </row>
    <row r="108" spans="1:9" x14ac:dyDescent="0.2">
      <c r="A108" s="3" t="s">
        <v>303</v>
      </c>
      <c r="B108" s="38" t="s">
        <v>293</v>
      </c>
      <c r="C108" s="38"/>
      <c r="D108" s="38"/>
      <c r="E108" s="38"/>
      <c r="F108" s="38"/>
      <c r="G108" s="38"/>
      <c r="H108" s="38"/>
    </row>
    <row r="109" spans="1:9" x14ac:dyDescent="0.2">
      <c r="B109" s="38" t="s">
        <v>294</v>
      </c>
      <c r="C109" s="38"/>
      <c r="D109" s="38"/>
      <c r="E109" s="43">
        <f>E101-G101</f>
        <v>5000</v>
      </c>
      <c r="F109" s="38"/>
      <c r="G109" s="38" t="s">
        <v>295</v>
      </c>
      <c r="H109" s="38"/>
    </row>
    <row r="111" spans="1:9" x14ac:dyDescent="0.2">
      <c r="B111" s="1" t="s">
        <v>296</v>
      </c>
    </row>
    <row r="112" spans="1:9" x14ac:dyDescent="0.2">
      <c r="B112" s="1" t="s">
        <v>297</v>
      </c>
      <c r="E112" s="1">
        <f>500000/20</f>
        <v>25000</v>
      </c>
      <c r="G112" s="1" t="s">
        <v>298</v>
      </c>
    </row>
    <row r="113" spans="1:8" x14ac:dyDescent="0.2">
      <c r="B113" s="1" t="s">
        <v>299</v>
      </c>
      <c r="E113" s="1">
        <v>20000</v>
      </c>
      <c r="G113" s="1" t="s">
        <v>300</v>
      </c>
    </row>
    <row r="114" spans="1:8" x14ac:dyDescent="0.2">
      <c r="B114" s="1" t="s">
        <v>301</v>
      </c>
      <c r="E114" s="1">
        <f>E112-E113</f>
        <v>5000</v>
      </c>
    </row>
    <row r="116" spans="1:8" x14ac:dyDescent="0.2">
      <c r="B116" s="1" t="s">
        <v>302</v>
      </c>
    </row>
    <row r="118" spans="1:8" x14ac:dyDescent="0.2">
      <c r="A118" s="3" t="s">
        <v>304</v>
      </c>
      <c r="B118" s="38" t="s">
        <v>305</v>
      </c>
      <c r="C118" s="38"/>
      <c r="D118" s="38"/>
      <c r="E118" s="38"/>
      <c r="F118" s="38"/>
      <c r="G118" s="38"/>
      <c r="H118" s="38"/>
    </row>
    <row r="119" spans="1:8" x14ac:dyDescent="0.2">
      <c r="B119" s="38"/>
      <c r="C119" s="43">
        <f>E103-G103</f>
        <v>812.5</v>
      </c>
      <c r="D119" s="38"/>
      <c r="E119" s="38" t="s">
        <v>306</v>
      </c>
      <c r="F119" s="38"/>
      <c r="G119" s="38"/>
      <c r="H119" s="38"/>
    </row>
    <row r="122" spans="1:8" x14ac:dyDescent="0.2">
      <c r="A122" s="1" t="s">
        <v>264</v>
      </c>
    </row>
    <row r="124" spans="1:8" x14ac:dyDescent="0.2">
      <c r="C124" s="39">
        <v>41274</v>
      </c>
    </row>
    <row r="125" spans="1:8" x14ac:dyDescent="0.2">
      <c r="B125" s="1" t="s">
        <v>261</v>
      </c>
      <c r="C125" s="1">
        <v>1000000</v>
      </c>
    </row>
    <row r="126" spans="1:8" x14ac:dyDescent="0.2">
      <c r="B126" s="1" t="s">
        <v>262</v>
      </c>
      <c r="C126" s="1">
        <f>500000/20*5.25</f>
        <v>131250</v>
      </c>
      <c r="F126" s="1" t="s">
        <v>263</v>
      </c>
    </row>
    <row r="127" spans="1:8" x14ac:dyDescent="0.2">
      <c r="B127" s="1" t="s">
        <v>57</v>
      </c>
      <c r="C127" s="40">
        <f>C125-C126</f>
        <v>868750</v>
      </c>
    </row>
    <row r="129" spans="1:6" x14ac:dyDescent="0.2">
      <c r="C129" s="39">
        <v>41639</v>
      </c>
    </row>
    <row r="130" spans="1:6" x14ac:dyDescent="0.2">
      <c r="B130" s="1" t="s">
        <v>261</v>
      </c>
      <c r="C130" s="1">
        <v>1000000</v>
      </c>
    </row>
    <row r="131" spans="1:6" x14ac:dyDescent="0.2">
      <c r="B131" s="1" t="s">
        <v>262</v>
      </c>
      <c r="C131" s="1">
        <f>500000/20*6.25</f>
        <v>156250</v>
      </c>
      <c r="F131" s="1" t="s">
        <v>265</v>
      </c>
    </row>
    <row r="132" spans="1:6" x14ac:dyDescent="0.2">
      <c r="B132" s="1" t="s">
        <v>57</v>
      </c>
      <c r="C132" s="40">
        <f>C130-C131</f>
        <v>843750</v>
      </c>
    </row>
    <row r="134" spans="1:6" x14ac:dyDescent="0.2">
      <c r="A134" s="1" t="s">
        <v>266</v>
      </c>
    </row>
    <row r="136" spans="1:6" x14ac:dyDescent="0.2">
      <c r="C136" s="39">
        <v>41274</v>
      </c>
    </row>
    <row r="137" spans="1:6" x14ac:dyDescent="0.2">
      <c r="B137" s="1" t="s">
        <v>261</v>
      </c>
      <c r="C137" s="1">
        <v>1000000</v>
      </c>
    </row>
    <row r="138" spans="1:6" x14ac:dyDescent="0.2">
      <c r="B138" s="1" t="s">
        <v>262</v>
      </c>
      <c r="C138" s="1">
        <f>500000/25*5.25</f>
        <v>105000</v>
      </c>
      <c r="F138" s="1" t="s">
        <v>267</v>
      </c>
    </row>
    <row r="139" spans="1:6" x14ac:dyDescent="0.2">
      <c r="B139" s="1" t="s">
        <v>56</v>
      </c>
      <c r="C139" s="40">
        <f>C137-C138</f>
        <v>895000</v>
      </c>
    </row>
    <row r="141" spans="1:6" x14ac:dyDescent="0.2">
      <c r="C141" s="39">
        <v>41639</v>
      </c>
    </row>
    <row r="142" spans="1:6" x14ac:dyDescent="0.2">
      <c r="B142" s="1" t="s">
        <v>261</v>
      </c>
      <c r="C142" s="1">
        <v>1000000</v>
      </c>
    </row>
    <row r="143" spans="1:6" x14ac:dyDescent="0.2">
      <c r="B143" s="1" t="s">
        <v>262</v>
      </c>
      <c r="C143" s="1">
        <f>500000/25*6.25</f>
        <v>125000</v>
      </c>
      <c r="F143" s="1" t="s">
        <v>268</v>
      </c>
    </row>
    <row r="144" spans="1:6" x14ac:dyDescent="0.2">
      <c r="B144" s="1" t="s">
        <v>56</v>
      </c>
      <c r="C144" s="40">
        <f>C142-C143</f>
        <v>875000</v>
      </c>
    </row>
    <row r="146" spans="1:5" x14ac:dyDescent="0.2">
      <c r="A146" s="3" t="s">
        <v>275</v>
      </c>
      <c r="B146" s="3" t="s">
        <v>276</v>
      </c>
      <c r="C146" s="3"/>
      <c r="D146" s="3"/>
      <c r="E146" s="3"/>
    </row>
    <row r="147" spans="1:5" x14ac:dyDescent="0.2">
      <c r="B147" s="1" t="s">
        <v>277</v>
      </c>
    </row>
    <row r="148" spans="1:5" x14ac:dyDescent="0.2">
      <c r="B148" s="1" t="s">
        <v>278</v>
      </c>
    </row>
    <row r="149" spans="1:5" x14ac:dyDescent="0.2">
      <c r="B149" s="1" t="s">
        <v>279</v>
      </c>
    </row>
    <row r="150" spans="1:5" x14ac:dyDescent="0.2">
      <c r="B150" s="1" t="s">
        <v>280</v>
      </c>
    </row>
    <row r="152" spans="1:5" x14ac:dyDescent="0.2">
      <c r="B152" s="1" t="s">
        <v>281</v>
      </c>
    </row>
    <row r="153" spans="1:5" x14ac:dyDescent="0.2">
      <c r="B153" s="1" t="s">
        <v>282</v>
      </c>
    </row>
    <row r="154" spans="1:5" x14ac:dyDescent="0.2">
      <c r="B154" s="1" t="s">
        <v>283</v>
      </c>
    </row>
    <row r="156" spans="1:5" x14ac:dyDescent="0.2">
      <c r="B156" s="3" t="s">
        <v>284</v>
      </c>
    </row>
    <row r="157" spans="1:5" x14ac:dyDescent="0.2">
      <c r="B157" s="1" t="s">
        <v>285</v>
      </c>
    </row>
    <row r="158" spans="1:5" x14ac:dyDescent="0.2">
      <c r="B158" s="1" t="s">
        <v>286</v>
      </c>
    </row>
    <row r="159" spans="1:5" x14ac:dyDescent="0.2">
      <c r="B159" s="1" t="s">
        <v>287</v>
      </c>
    </row>
    <row r="160" spans="1:5" x14ac:dyDescent="0.2">
      <c r="B160" s="1" t="s">
        <v>288</v>
      </c>
    </row>
    <row r="162" spans="1:9" x14ac:dyDescent="0.2">
      <c r="B162" s="1" t="s">
        <v>290</v>
      </c>
    </row>
    <row r="163" spans="1:9" x14ac:dyDescent="0.2">
      <c r="B163" s="1" t="s">
        <v>291</v>
      </c>
    </row>
    <row r="164" spans="1:9" x14ac:dyDescent="0.2">
      <c r="B164" s="1" t="s">
        <v>292</v>
      </c>
    </row>
    <row r="165" spans="1:9" ht="17" thickBot="1" x14ac:dyDescent="0.25"/>
    <row r="166" spans="1:9" x14ac:dyDescent="0.2">
      <c r="A166" s="22" t="s">
        <v>215</v>
      </c>
      <c r="B166" s="23"/>
      <c r="C166" s="23"/>
      <c r="D166" s="23"/>
      <c r="E166" s="23"/>
      <c r="F166" s="23"/>
      <c r="G166" s="23"/>
      <c r="H166" s="35"/>
    </row>
    <row r="167" spans="1:9" x14ac:dyDescent="0.2">
      <c r="A167" s="26" t="s">
        <v>216</v>
      </c>
      <c r="H167" s="36"/>
    </row>
    <row r="168" spans="1:9" ht="17" thickBot="1" x14ac:dyDescent="0.25">
      <c r="A168" s="28" t="s">
        <v>308</v>
      </c>
      <c r="B168" s="29"/>
      <c r="C168" s="29"/>
      <c r="D168" s="29"/>
      <c r="E168" s="29"/>
      <c r="F168" s="29"/>
      <c r="G168" s="29"/>
      <c r="H168" s="37"/>
    </row>
    <row r="169" spans="1:9" x14ac:dyDescent="0.2">
      <c r="A169" s="96"/>
      <c r="B169" s="96"/>
      <c r="C169" s="96"/>
      <c r="D169" s="96"/>
      <c r="E169" s="96"/>
      <c r="F169" s="96"/>
      <c r="G169" s="96"/>
    </row>
    <row r="170" spans="1:9" x14ac:dyDescent="0.2">
      <c r="A170" s="96"/>
      <c r="B170" s="96"/>
      <c r="C170" s="96"/>
      <c r="D170" s="96"/>
      <c r="E170" s="94">
        <v>41274</v>
      </c>
      <c r="F170" s="160"/>
      <c r="G170" s="94">
        <v>41639</v>
      </c>
      <c r="H170" s="93"/>
      <c r="I170" s="93"/>
    </row>
    <row r="171" spans="1:9" x14ac:dyDescent="0.2">
      <c r="A171" s="96"/>
      <c r="B171" s="96" t="s">
        <v>57</v>
      </c>
      <c r="C171" s="96"/>
      <c r="D171" s="96"/>
      <c r="E171" s="80">
        <f>800000-800000/8*4</f>
        <v>400000</v>
      </c>
      <c r="F171" s="244"/>
      <c r="G171" s="80">
        <f>800000-800000/8*5</f>
        <v>300000</v>
      </c>
      <c r="H171" s="93"/>
      <c r="I171" s="93"/>
    </row>
    <row r="172" spans="1:9" x14ac:dyDescent="0.2">
      <c r="A172" s="96"/>
      <c r="B172" s="96" t="s">
        <v>56</v>
      </c>
      <c r="C172" s="96"/>
      <c r="D172" s="96"/>
      <c r="E172" s="80">
        <v>0</v>
      </c>
      <c r="F172" s="244"/>
      <c r="G172" s="80">
        <v>0</v>
      </c>
      <c r="H172" s="93"/>
      <c r="I172" s="93"/>
    </row>
    <row r="173" spans="1:9" x14ac:dyDescent="0.2">
      <c r="A173" s="93"/>
      <c r="B173" s="96" t="s">
        <v>58</v>
      </c>
      <c r="C173" s="96"/>
      <c r="D173" s="96"/>
      <c r="E173" s="81">
        <f>E171-E172</f>
        <v>400000</v>
      </c>
      <c r="F173" s="244"/>
      <c r="G173" s="81">
        <f>G171-G172</f>
        <v>300000</v>
      </c>
      <c r="H173" s="93"/>
      <c r="I173" s="93"/>
    </row>
    <row r="174" spans="1:9" x14ac:dyDescent="0.2">
      <c r="A174" s="93"/>
      <c r="B174" s="96" t="s">
        <v>274</v>
      </c>
      <c r="C174" s="96"/>
      <c r="D174" s="96"/>
      <c r="E174" s="82">
        <v>0.4</v>
      </c>
      <c r="F174" s="93"/>
      <c r="G174" s="253" t="s">
        <v>315</v>
      </c>
      <c r="H174" s="93" t="s">
        <v>316</v>
      </c>
      <c r="I174" s="93"/>
    </row>
    <row r="175" spans="1:9" x14ac:dyDescent="0.2">
      <c r="A175" s="93"/>
      <c r="B175" s="96" t="s">
        <v>309</v>
      </c>
      <c r="C175" s="96"/>
      <c r="D175" s="96"/>
      <c r="E175" s="81">
        <f>-E173*E174</f>
        <v>-160000</v>
      </c>
      <c r="F175" s="93"/>
      <c r="G175" s="81">
        <f>-SUM(D186:F186)</f>
        <v>-95000</v>
      </c>
      <c r="H175" s="93"/>
      <c r="I175" s="93"/>
    </row>
    <row r="176" spans="1:9" s="96" customFormat="1" x14ac:dyDescent="0.2"/>
    <row r="177" spans="1:9" s="96" customFormat="1" x14ac:dyDescent="0.2">
      <c r="B177" s="96" t="s">
        <v>2421</v>
      </c>
    </row>
    <row r="178" spans="1:9" s="96" customFormat="1" x14ac:dyDescent="0.2">
      <c r="C178" s="96" t="s">
        <v>519</v>
      </c>
      <c r="D178" s="254" t="s">
        <v>2420</v>
      </c>
      <c r="E178" s="254"/>
      <c r="F178" s="254"/>
    </row>
    <row r="179" spans="1:9" s="96" customFormat="1" x14ac:dyDescent="0.2">
      <c r="B179" s="160" t="s">
        <v>194</v>
      </c>
      <c r="C179" s="248">
        <v>2013</v>
      </c>
      <c r="D179" s="252">
        <v>2014</v>
      </c>
      <c r="E179" s="252">
        <v>2015</v>
      </c>
      <c r="F179" s="252">
        <v>2016</v>
      </c>
    </row>
    <row r="180" spans="1:9" s="96" customFormat="1" x14ac:dyDescent="0.2">
      <c r="B180" s="96" t="s">
        <v>90</v>
      </c>
      <c r="C180" s="249">
        <v>0.35</v>
      </c>
      <c r="D180" s="82">
        <v>0.33</v>
      </c>
      <c r="E180" s="82">
        <v>0.31</v>
      </c>
      <c r="F180" s="82">
        <v>0.31</v>
      </c>
    </row>
    <row r="181" spans="1:9" s="96" customFormat="1" x14ac:dyDescent="0.2">
      <c r="C181" s="250"/>
    </row>
    <row r="182" spans="1:9" s="96" customFormat="1" x14ac:dyDescent="0.2">
      <c r="A182" s="96" t="s">
        <v>310</v>
      </c>
      <c r="B182" s="96" t="s">
        <v>311</v>
      </c>
      <c r="C182" s="251">
        <f>800000/8</f>
        <v>100000</v>
      </c>
      <c r="D182" s="80">
        <f>800000/8</f>
        <v>100000</v>
      </c>
      <c r="E182" s="80">
        <f>800000/8</f>
        <v>100000</v>
      </c>
      <c r="F182" s="80">
        <f>800000/8</f>
        <v>100000</v>
      </c>
    </row>
    <row r="183" spans="1:9" s="96" customFormat="1" x14ac:dyDescent="0.2">
      <c r="A183" s="96" t="s">
        <v>310</v>
      </c>
      <c r="B183" s="96" t="s">
        <v>312</v>
      </c>
      <c r="C183" s="250">
        <v>0</v>
      </c>
      <c r="D183" s="96">
        <v>0</v>
      </c>
      <c r="E183" s="96">
        <v>0</v>
      </c>
      <c r="F183" s="96">
        <v>0</v>
      </c>
      <c r="G183" s="96" t="s">
        <v>313</v>
      </c>
    </row>
    <row r="184" spans="1:9" s="96" customFormat="1" x14ac:dyDescent="0.2">
      <c r="A184" s="96" t="s">
        <v>314</v>
      </c>
      <c r="C184" s="251">
        <f>C182</f>
        <v>100000</v>
      </c>
      <c r="D184" s="80">
        <f>D182</f>
        <v>100000</v>
      </c>
      <c r="E184" s="80">
        <f>E182</f>
        <v>100000</v>
      </c>
      <c r="F184" s="80">
        <f>F182</f>
        <v>100000</v>
      </c>
    </row>
    <row r="185" spans="1:9" x14ac:dyDescent="0.2">
      <c r="A185" s="93"/>
      <c r="B185" s="93"/>
      <c r="C185" s="247"/>
      <c r="D185" s="93"/>
      <c r="E185" s="93"/>
      <c r="F185" s="93"/>
      <c r="G185" s="93"/>
      <c r="H185" s="93"/>
      <c r="I185" s="93"/>
    </row>
    <row r="186" spans="1:9" x14ac:dyDescent="0.2">
      <c r="A186" s="1" t="s">
        <v>91</v>
      </c>
      <c r="C186" s="44"/>
      <c r="D186" s="10">
        <f>D184*D180</f>
        <v>33000</v>
      </c>
      <c r="E186" s="10">
        <f>E184*E180</f>
        <v>31000</v>
      </c>
      <c r="F186" s="10">
        <f>F184*F180</f>
        <v>31000</v>
      </c>
    </row>
    <row r="188" spans="1:9" x14ac:dyDescent="0.2">
      <c r="B188" s="1" t="s">
        <v>317</v>
      </c>
    </row>
    <row r="189" spans="1:9" x14ac:dyDescent="0.2">
      <c r="B189" s="1" t="s">
        <v>318</v>
      </c>
    </row>
    <row r="190" spans="1:9" x14ac:dyDescent="0.2">
      <c r="B190" s="1" t="s">
        <v>319</v>
      </c>
    </row>
    <row r="191" spans="1:9" x14ac:dyDescent="0.2">
      <c r="B191" s="1" t="s">
        <v>320</v>
      </c>
    </row>
    <row r="198" spans="1:6" x14ac:dyDescent="0.2">
      <c r="C198" s="8">
        <v>100000</v>
      </c>
      <c r="E198" s="8">
        <v>200000</v>
      </c>
    </row>
    <row r="199" spans="1:6" x14ac:dyDescent="0.2">
      <c r="C199" s="1" t="s">
        <v>321</v>
      </c>
      <c r="E199" s="1" t="s">
        <v>324</v>
      </c>
    </row>
    <row r="200" spans="1:6" x14ac:dyDescent="0.2">
      <c r="C200" s="1" t="s">
        <v>322</v>
      </c>
      <c r="E200" s="1" t="s">
        <v>325</v>
      </c>
    </row>
    <row r="201" spans="1:6" x14ac:dyDescent="0.2">
      <c r="C201" s="1" t="s">
        <v>323</v>
      </c>
      <c r="E201" s="1" t="s">
        <v>326</v>
      </c>
    </row>
    <row r="204" spans="1:6" x14ac:dyDescent="0.2">
      <c r="C204" s="1" t="s">
        <v>327</v>
      </c>
    </row>
    <row r="205" spans="1:6" x14ac:dyDescent="0.2">
      <c r="C205" s="10">
        <f>33000+31%*200000</f>
        <v>95000</v>
      </c>
      <c r="F205" s="1" t="s">
        <v>328</v>
      </c>
    </row>
    <row r="208" spans="1:6" x14ac:dyDescent="0.2">
      <c r="A208" s="3" t="s">
        <v>307</v>
      </c>
    </row>
    <row r="210" spans="1:8" x14ac:dyDescent="0.2">
      <c r="A210" s="3" t="s">
        <v>303</v>
      </c>
      <c r="B210" s="38" t="s">
        <v>475</v>
      </c>
      <c r="C210" s="38"/>
      <c r="D210" s="38"/>
      <c r="E210" s="38"/>
      <c r="F210" s="38"/>
      <c r="G210" s="38"/>
      <c r="H210" s="38"/>
    </row>
    <row r="211" spans="1:8" x14ac:dyDescent="0.2">
      <c r="B211" s="38" t="s">
        <v>294</v>
      </c>
      <c r="C211" s="38"/>
      <c r="D211" s="38"/>
      <c r="E211" s="43">
        <v>100000</v>
      </c>
      <c r="F211" s="38"/>
      <c r="G211" s="45" t="s">
        <v>331</v>
      </c>
      <c r="H211" s="38"/>
    </row>
    <row r="213" spans="1:8" x14ac:dyDescent="0.2">
      <c r="B213" s="1" t="s">
        <v>302</v>
      </c>
    </row>
    <row r="215" spans="1:8" x14ac:dyDescent="0.2">
      <c r="A215" s="3" t="s">
        <v>304</v>
      </c>
      <c r="B215" s="38" t="s">
        <v>329</v>
      </c>
      <c r="C215" s="38"/>
      <c r="D215" s="38"/>
      <c r="E215" s="38"/>
      <c r="F215" s="38"/>
      <c r="G215" s="38"/>
      <c r="H215" s="38"/>
    </row>
    <row r="216" spans="1:8" x14ac:dyDescent="0.2">
      <c r="B216" s="38"/>
      <c r="C216" s="43">
        <v>-65000</v>
      </c>
      <c r="D216" s="38"/>
      <c r="E216" s="38"/>
      <c r="F216" s="38" t="s">
        <v>330</v>
      </c>
      <c r="G216" s="38"/>
      <c r="H216" s="38"/>
    </row>
    <row r="217" spans="1:8" ht="17" thickBot="1" x14ac:dyDescent="0.25"/>
    <row r="218" spans="1:8" x14ac:dyDescent="0.2">
      <c r="A218" s="22" t="s">
        <v>218</v>
      </c>
      <c r="B218" s="23"/>
      <c r="C218" s="23"/>
      <c r="D218" s="23"/>
      <c r="E218" s="23"/>
      <c r="F218" s="23"/>
      <c r="G218" s="23"/>
      <c r="H218" s="35"/>
    </row>
    <row r="219" spans="1:8" x14ac:dyDescent="0.2">
      <c r="A219" s="26" t="s">
        <v>219</v>
      </c>
      <c r="H219" s="36"/>
    </row>
    <row r="220" spans="1:8" x14ac:dyDescent="0.2">
      <c r="A220" s="26" t="s">
        <v>211</v>
      </c>
      <c r="H220" s="36"/>
    </row>
    <row r="221" spans="1:8" x14ac:dyDescent="0.2">
      <c r="A221" s="26" t="s">
        <v>220</v>
      </c>
      <c r="H221" s="36"/>
    </row>
    <row r="222" spans="1:8" x14ac:dyDescent="0.2">
      <c r="A222" s="26" t="s">
        <v>221</v>
      </c>
      <c r="H222" s="36"/>
    </row>
    <row r="223" spans="1:8" ht="17" thickBot="1" x14ac:dyDescent="0.25">
      <c r="A223" s="28" t="s">
        <v>222</v>
      </c>
      <c r="B223" s="29"/>
      <c r="C223" s="29"/>
      <c r="D223" s="29"/>
      <c r="E223" s="29"/>
      <c r="F223" s="29"/>
      <c r="G223" s="29"/>
      <c r="H223" s="37"/>
    </row>
    <row r="224" spans="1:8" s="96" customFormat="1" x14ac:dyDescent="0.2"/>
    <row r="225" spans="1:10" s="96" customFormat="1" x14ac:dyDescent="0.2">
      <c r="D225" s="94">
        <v>41274</v>
      </c>
      <c r="E225" s="160"/>
      <c r="F225" s="94">
        <v>41639</v>
      </c>
    </row>
    <row r="226" spans="1:10" x14ac:dyDescent="0.2">
      <c r="A226" s="96"/>
      <c r="B226" s="96" t="s">
        <v>57</v>
      </c>
      <c r="C226" s="96"/>
      <c r="D226" s="157">
        <v>1900000</v>
      </c>
      <c r="E226" s="157"/>
      <c r="F226" s="157">
        <v>2100000</v>
      </c>
    </row>
    <row r="227" spans="1:10" s="96" customFormat="1" x14ac:dyDescent="0.2">
      <c r="B227" s="96" t="s">
        <v>129</v>
      </c>
      <c r="D227" s="157">
        <f>1400000-(1400000*0.5)/25*4.5</f>
        <v>1274000</v>
      </c>
      <c r="E227" s="157"/>
      <c r="F227" s="157">
        <f>1400000-(1400000*0.5)/25*5.5</f>
        <v>1246000</v>
      </c>
    </row>
    <row r="228" spans="1:10" x14ac:dyDescent="0.2">
      <c r="A228" s="96"/>
      <c r="B228" s="96" t="s">
        <v>58</v>
      </c>
      <c r="C228" s="96"/>
      <c r="D228" s="176">
        <f>D226-D227</f>
        <v>626000</v>
      </c>
      <c r="E228" s="155"/>
      <c r="F228" s="176">
        <f>F226-F227</f>
        <v>854000</v>
      </c>
    </row>
    <row r="229" spans="1:10" s="96" customFormat="1" x14ac:dyDescent="0.2">
      <c r="B229" s="96" t="s">
        <v>90</v>
      </c>
      <c r="D229" s="82">
        <v>0.2</v>
      </c>
      <c r="F229" s="82">
        <f>D229</f>
        <v>0.2</v>
      </c>
      <c r="G229" s="255" t="s">
        <v>2422</v>
      </c>
      <c r="H229" s="256">
        <v>-200000</v>
      </c>
      <c r="I229" s="257">
        <v>-28000</v>
      </c>
      <c r="J229" s="96" t="s">
        <v>2423</v>
      </c>
    </row>
    <row r="230" spans="1:10" s="96" customFormat="1" x14ac:dyDescent="0.2">
      <c r="B230" s="96" t="s">
        <v>338</v>
      </c>
      <c r="D230" s="81">
        <f>-D229*D228</f>
        <v>-125200</v>
      </c>
      <c r="E230" s="157"/>
      <c r="F230" s="81">
        <f>-F229*F228</f>
        <v>-170800</v>
      </c>
    </row>
    <row r="231" spans="1:10" x14ac:dyDescent="0.2">
      <c r="D231" s="8"/>
      <c r="E231" s="8"/>
      <c r="F231" s="8"/>
    </row>
    <row r="232" spans="1:10" x14ac:dyDescent="0.2">
      <c r="A232" s="1" t="s">
        <v>332</v>
      </c>
    </row>
    <row r="233" spans="1:10" x14ac:dyDescent="0.2">
      <c r="B233" s="1" t="s">
        <v>333</v>
      </c>
    </row>
    <row r="234" spans="1:10" x14ac:dyDescent="0.2">
      <c r="B234" s="1" t="s">
        <v>334</v>
      </c>
    </row>
    <row r="235" spans="1:10" x14ac:dyDescent="0.2">
      <c r="B235" s="1" t="s">
        <v>335</v>
      </c>
    </row>
    <row r="236" spans="1:10" x14ac:dyDescent="0.2">
      <c r="B236" s="1" t="s">
        <v>336</v>
      </c>
    </row>
    <row r="237" spans="1:10" x14ac:dyDescent="0.2">
      <c r="B237" s="1" t="s">
        <v>337</v>
      </c>
    </row>
    <row r="239" spans="1:10" x14ac:dyDescent="0.2">
      <c r="A239" s="38" t="s">
        <v>339</v>
      </c>
      <c r="B239" s="38" t="s">
        <v>340</v>
      </c>
      <c r="C239" s="38"/>
      <c r="D239" s="38"/>
      <c r="E239" s="38"/>
      <c r="F239" s="43">
        <f>D226-F226</f>
        <v>-200000</v>
      </c>
    </row>
    <row r="240" spans="1:10" x14ac:dyDescent="0.2">
      <c r="A240" s="38"/>
      <c r="B240" s="38" t="s">
        <v>341</v>
      </c>
      <c r="C240" s="38"/>
      <c r="D240" s="38"/>
      <c r="E240" s="38"/>
      <c r="F240" s="43">
        <f>F227-D227</f>
        <v>-28000</v>
      </c>
    </row>
    <row r="242" spans="1:8" x14ac:dyDescent="0.2">
      <c r="A242" s="38" t="s">
        <v>342</v>
      </c>
      <c r="B242" s="38" t="s">
        <v>343</v>
      </c>
      <c r="C242" s="38"/>
      <c r="D242" s="43">
        <f>D230-F230</f>
        <v>45600</v>
      </c>
      <c r="E242" s="38"/>
      <c r="F242" s="38" t="s">
        <v>344</v>
      </c>
    </row>
    <row r="243" spans="1:8" ht="17" thickBot="1" x14ac:dyDescent="0.25"/>
    <row r="244" spans="1:8" x14ac:dyDescent="0.2">
      <c r="A244" s="22" t="s">
        <v>223</v>
      </c>
      <c r="B244" s="23"/>
      <c r="C244" s="23"/>
      <c r="D244" s="23"/>
      <c r="E244" s="23"/>
      <c r="F244" s="23"/>
      <c r="G244" s="23"/>
      <c r="H244" s="35"/>
    </row>
    <row r="245" spans="1:8" x14ac:dyDescent="0.2">
      <c r="A245" s="26" t="s">
        <v>224</v>
      </c>
      <c r="H245" s="36"/>
    </row>
    <row r="246" spans="1:8" ht="17" thickBot="1" x14ac:dyDescent="0.25">
      <c r="A246" s="28" t="s">
        <v>225</v>
      </c>
      <c r="B246" s="29"/>
      <c r="C246" s="29"/>
      <c r="D246" s="29"/>
      <c r="E246" s="29"/>
      <c r="F246" s="29"/>
      <c r="G246" s="29"/>
      <c r="H246" s="37"/>
    </row>
    <row r="248" spans="1:8" x14ac:dyDescent="0.2">
      <c r="A248" s="1" t="s">
        <v>345</v>
      </c>
    </row>
    <row r="249" spans="1:8" x14ac:dyDescent="0.2">
      <c r="A249" s="1" t="s">
        <v>346</v>
      </c>
    </row>
    <row r="251" spans="1:8" s="96" customFormat="1" x14ac:dyDescent="0.2">
      <c r="A251" s="192" t="s">
        <v>2430</v>
      </c>
    </row>
    <row r="252" spans="1:8" s="96" customFormat="1" x14ac:dyDescent="0.2">
      <c r="D252" s="94">
        <v>41274</v>
      </c>
      <c r="E252" s="160"/>
      <c r="F252" s="94">
        <v>41639</v>
      </c>
    </row>
    <row r="253" spans="1:8" s="96" customFormat="1" x14ac:dyDescent="0.2">
      <c r="B253" s="96" t="s">
        <v>57</v>
      </c>
      <c r="D253" s="80">
        <f>450000/36*30</f>
        <v>375000</v>
      </c>
      <c r="E253" s="80"/>
      <c r="F253" s="80">
        <f>450000/36*18</f>
        <v>225000</v>
      </c>
    </row>
    <row r="254" spans="1:8" s="96" customFormat="1" x14ac:dyDescent="0.2">
      <c r="B254" s="96" t="s">
        <v>56</v>
      </c>
      <c r="D254" s="80">
        <v>0</v>
      </c>
      <c r="E254" s="80"/>
      <c r="F254" s="80">
        <v>0</v>
      </c>
    </row>
    <row r="255" spans="1:8" x14ac:dyDescent="0.2">
      <c r="A255" s="96"/>
      <c r="B255" s="96" t="s">
        <v>349</v>
      </c>
      <c r="C255" s="96"/>
      <c r="D255" s="81">
        <f>D253-D254</f>
        <v>375000</v>
      </c>
      <c r="E255" s="80"/>
      <c r="F255" s="81">
        <f>F253-F254</f>
        <v>225000</v>
      </c>
      <c r="G255" s="93"/>
    </row>
    <row r="256" spans="1:8" x14ac:dyDescent="0.2">
      <c r="A256" s="93"/>
      <c r="B256" s="96" t="s">
        <v>359</v>
      </c>
      <c r="C256" s="96"/>
      <c r="D256" s="82">
        <v>0.4</v>
      </c>
      <c r="E256" s="93"/>
      <c r="F256" s="96" t="s">
        <v>361</v>
      </c>
      <c r="G256" s="93"/>
    </row>
    <row r="257" spans="1:7" x14ac:dyDescent="0.2">
      <c r="A257" s="93"/>
      <c r="B257" s="96" t="s">
        <v>360</v>
      </c>
      <c r="C257" s="96"/>
      <c r="D257" s="81">
        <f>D255*D256</f>
        <v>150000</v>
      </c>
      <c r="E257" s="244"/>
      <c r="F257" s="81">
        <f>F307</f>
        <v>72750</v>
      </c>
      <c r="G257" s="93"/>
    </row>
    <row r="259" spans="1:7" ht="17" thickBot="1" x14ac:dyDescent="0.25">
      <c r="A259" s="1" t="s">
        <v>2424</v>
      </c>
    </row>
    <row r="260" spans="1:7" ht="17" thickBot="1" x14ac:dyDescent="0.25">
      <c r="D260" s="404" t="s">
        <v>2429</v>
      </c>
      <c r="E260" s="405"/>
      <c r="F260" s="406"/>
    </row>
    <row r="261" spans="1:7" x14ac:dyDescent="0.2">
      <c r="C261" s="9">
        <v>2012</v>
      </c>
      <c r="D261" s="9">
        <v>2013</v>
      </c>
      <c r="E261" s="258">
        <v>2014</v>
      </c>
      <c r="F261" s="258">
        <v>2015</v>
      </c>
    </row>
    <row r="262" spans="1:7" x14ac:dyDescent="0.2">
      <c r="A262" s="1" t="s">
        <v>2425</v>
      </c>
      <c r="C262" s="11">
        <f>450000/3*0.5</f>
        <v>75000</v>
      </c>
      <c r="D262" s="11">
        <f>450000/3</f>
        <v>150000</v>
      </c>
      <c r="E262" s="11">
        <f>450000/3</f>
        <v>150000</v>
      </c>
      <c r="F262" s="11">
        <f>450000/3*0.5</f>
        <v>75000</v>
      </c>
    </row>
    <row r="263" spans="1:7" x14ac:dyDescent="0.2">
      <c r="A263" s="1" t="s">
        <v>2426</v>
      </c>
      <c r="C263" s="11">
        <v>450000</v>
      </c>
      <c r="D263" s="11">
        <v>0</v>
      </c>
      <c r="E263" s="11">
        <v>0</v>
      </c>
      <c r="F263" s="11">
        <v>0</v>
      </c>
    </row>
    <row r="264" spans="1:7" x14ac:dyDescent="0.2">
      <c r="A264" s="1" t="s">
        <v>2427</v>
      </c>
      <c r="C264" s="11">
        <f>C263-C262</f>
        <v>375000</v>
      </c>
      <c r="D264" s="11"/>
      <c r="E264" s="11"/>
      <c r="F264" s="11"/>
    </row>
    <row r="265" spans="1:7" x14ac:dyDescent="0.2">
      <c r="A265" s="1" t="s">
        <v>2428</v>
      </c>
      <c r="C265" s="11"/>
      <c r="D265" s="11">
        <f>-D262</f>
        <v>-150000</v>
      </c>
      <c r="E265" s="11">
        <f>-E262</f>
        <v>-150000</v>
      </c>
      <c r="F265" s="11">
        <f>-F262</f>
        <v>-75000</v>
      </c>
    </row>
    <row r="267" spans="1:7" x14ac:dyDescent="0.2">
      <c r="A267" s="38" t="s">
        <v>378</v>
      </c>
      <c r="B267" s="38" t="s">
        <v>380</v>
      </c>
      <c r="C267" s="38"/>
      <c r="D267" s="38"/>
      <c r="E267" s="38"/>
      <c r="F267" s="38"/>
      <c r="G267" s="43">
        <f>F255-D255</f>
        <v>-150000</v>
      </c>
    </row>
    <row r="268" spans="1:7" x14ac:dyDescent="0.2">
      <c r="A268" s="38"/>
      <c r="B268" s="38"/>
      <c r="C268" s="38"/>
      <c r="D268" s="38"/>
      <c r="E268" s="38"/>
      <c r="F268" s="38"/>
      <c r="G268" s="38"/>
    </row>
    <row r="269" spans="1:7" x14ac:dyDescent="0.2">
      <c r="A269" s="38" t="s">
        <v>342</v>
      </c>
      <c r="B269" s="38" t="s">
        <v>379</v>
      </c>
      <c r="C269" s="38"/>
      <c r="D269" s="38"/>
      <c r="E269" s="38"/>
      <c r="F269" s="38"/>
      <c r="G269" s="43">
        <f>D257-F257</f>
        <v>77250</v>
      </c>
    </row>
    <row r="271" spans="1:7" x14ac:dyDescent="0.2">
      <c r="A271" s="1" t="s">
        <v>347</v>
      </c>
    </row>
    <row r="272" spans="1:7" x14ac:dyDescent="0.2">
      <c r="A272" s="1" t="s">
        <v>348</v>
      </c>
    </row>
    <row r="274" spans="1:2" x14ac:dyDescent="0.2">
      <c r="A274" s="1" t="s">
        <v>376</v>
      </c>
    </row>
    <row r="275" spans="1:2" x14ac:dyDescent="0.2">
      <c r="A275" s="1" t="s">
        <v>377</v>
      </c>
    </row>
    <row r="277" spans="1:2" x14ac:dyDescent="0.2">
      <c r="A277" s="1" t="s">
        <v>275</v>
      </c>
      <c r="B277" s="1" t="s">
        <v>350</v>
      </c>
    </row>
    <row r="278" spans="1:2" x14ac:dyDescent="0.2">
      <c r="B278" s="1" t="s">
        <v>351</v>
      </c>
    </row>
    <row r="280" spans="1:2" x14ac:dyDescent="0.2">
      <c r="B280" s="1" t="s">
        <v>352</v>
      </c>
    </row>
    <row r="281" spans="1:2" x14ac:dyDescent="0.2">
      <c r="B281" s="1" t="s">
        <v>353</v>
      </c>
    </row>
    <row r="283" spans="1:2" x14ac:dyDescent="0.2">
      <c r="B283" s="1" t="s">
        <v>354</v>
      </c>
    </row>
    <row r="284" spans="1:2" x14ac:dyDescent="0.2">
      <c r="B284" s="1" t="s">
        <v>355</v>
      </c>
    </row>
    <row r="285" spans="1:2" x14ac:dyDescent="0.2">
      <c r="B285" s="1" t="s">
        <v>356</v>
      </c>
    </row>
    <row r="286" spans="1:2" x14ac:dyDescent="0.2">
      <c r="B286" s="1" t="s">
        <v>357</v>
      </c>
    </row>
    <row r="288" spans="1:2" x14ac:dyDescent="0.2">
      <c r="B288" s="3" t="s">
        <v>358</v>
      </c>
    </row>
    <row r="290" spans="1:9" x14ac:dyDescent="0.2">
      <c r="A290" s="3" t="s">
        <v>362</v>
      </c>
      <c r="B290" s="3" t="s">
        <v>363</v>
      </c>
    </row>
    <row r="291" spans="1:9" x14ac:dyDescent="0.2">
      <c r="A291" s="3"/>
      <c r="B291" s="3"/>
    </row>
    <row r="292" spans="1:9" x14ac:dyDescent="0.2">
      <c r="A292" s="3"/>
      <c r="B292" s="3"/>
      <c r="D292" s="14">
        <v>75000</v>
      </c>
    </row>
    <row r="293" spans="1:9" x14ac:dyDescent="0.2">
      <c r="A293" s="3"/>
      <c r="B293" s="3"/>
      <c r="G293" s="1" t="s">
        <v>366</v>
      </c>
    </row>
    <row r="294" spans="1:9" x14ac:dyDescent="0.2">
      <c r="C294" s="1" t="s">
        <v>367</v>
      </c>
    </row>
    <row r="295" spans="1:9" x14ac:dyDescent="0.2">
      <c r="C295" s="7">
        <v>42185</v>
      </c>
      <c r="E295" s="47">
        <v>42004</v>
      </c>
      <c r="G295" s="47">
        <v>41639</v>
      </c>
    </row>
    <row r="296" spans="1:9" x14ac:dyDescent="0.2">
      <c r="G296" s="2"/>
    </row>
    <row r="297" spans="1:9" x14ac:dyDescent="0.2">
      <c r="G297" s="2" t="s">
        <v>364</v>
      </c>
    </row>
    <row r="298" spans="1:9" x14ac:dyDescent="0.2">
      <c r="G298" s="2" t="s">
        <v>365</v>
      </c>
    </row>
    <row r="299" spans="1:9" x14ac:dyDescent="0.2">
      <c r="G299" s="14">
        <v>225000</v>
      </c>
    </row>
    <row r="301" spans="1:9" x14ac:dyDescent="0.2">
      <c r="B301" s="1" t="s">
        <v>369</v>
      </c>
      <c r="H301" s="42">
        <v>0.33</v>
      </c>
      <c r="I301" s="1" t="s">
        <v>368</v>
      </c>
    </row>
    <row r="302" spans="1:9" x14ac:dyDescent="0.2">
      <c r="D302" s="1" t="s">
        <v>370</v>
      </c>
      <c r="H302" s="42">
        <v>0.31</v>
      </c>
      <c r="I302" s="1" t="s">
        <v>371</v>
      </c>
    </row>
    <row r="304" spans="1:9" x14ac:dyDescent="0.2">
      <c r="B304" s="1" t="s">
        <v>372</v>
      </c>
    </row>
    <row r="305" spans="1:9" x14ac:dyDescent="0.2">
      <c r="B305" s="1" t="s">
        <v>373</v>
      </c>
    </row>
    <row r="307" spans="1:9" x14ac:dyDescent="0.2">
      <c r="B307" s="1" t="s">
        <v>374</v>
      </c>
      <c r="F307" s="1">
        <f>150000*33%+75000*31%</f>
        <v>72750</v>
      </c>
      <c r="I307" s="1" t="s">
        <v>375</v>
      </c>
    </row>
    <row r="308" spans="1:9" ht="17" thickBot="1" x14ac:dyDescent="0.25"/>
    <row r="309" spans="1:9" x14ac:dyDescent="0.2">
      <c r="A309" s="22" t="s">
        <v>226</v>
      </c>
      <c r="B309" s="23"/>
      <c r="C309" s="23"/>
      <c r="D309" s="23"/>
      <c r="E309" s="23"/>
      <c r="F309" s="23"/>
      <c r="G309" s="23"/>
      <c r="H309" s="35"/>
    </row>
    <row r="310" spans="1:9" x14ac:dyDescent="0.2">
      <c r="A310" s="26" t="s">
        <v>227</v>
      </c>
      <c r="H310" s="36"/>
    </row>
    <row r="311" spans="1:9" x14ac:dyDescent="0.2">
      <c r="A311" s="26" t="s">
        <v>228</v>
      </c>
      <c r="H311" s="36"/>
    </row>
    <row r="312" spans="1:9" x14ac:dyDescent="0.2">
      <c r="A312" s="26" t="s">
        <v>229</v>
      </c>
      <c r="H312" s="36"/>
    </row>
    <row r="313" spans="1:9" x14ac:dyDescent="0.2">
      <c r="A313" s="26" t="s">
        <v>230</v>
      </c>
      <c r="H313" s="36"/>
    </row>
    <row r="314" spans="1:9" ht="17" thickBot="1" x14ac:dyDescent="0.25">
      <c r="A314" s="28" t="s">
        <v>231</v>
      </c>
      <c r="B314" s="29"/>
      <c r="C314" s="29"/>
      <c r="D314" s="29"/>
      <c r="E314" s="29"/>
      <c r="F314" s="29"/>
      <c r="G314" s="29"/>
      <c r="H314" s="37"/>
    </row>
    <row r="316" spans="1:9" x14ac:dyDescent="0.2">
      <c r="A316" s="1" t="s">
        <v>381</v>
      </c>
    </row>
    <row r="317" spans="1:9" s="96" customFormat="1" x14ac:dyDescent="0.2"/>
    <row r="318" spans="1:9" s="96" customFormat="1" x14ac:dyDescent="0.2">
      <c r="E318" s="94">
        <v>41274</v>
      </c>
      <c r="F318" s="160"/>
      <c r="G318" s="160"/>
      <c r="H318" s="94">
        <v>41639</v>
      </c>
    </row>
    <row r="319" spans="1:9" s="96" customFormat="1" x14ac:dyDescent="0.2">
      <c r="C319" s="96" t="s">
        <v>57</v>
      </c>
      <c r="E319" s="80">
        <f>7000*100</f>
        <v>700000</v>
      </c>
      <c r="F319" s="80"/>
      <c r="G319" s="80"/>
      <c r="H319" s="80">
        <f>12000*100</f>
        <v>1200000</v>
      </c>
    </row>
    <row r="320" spans="1:9" s="96" customFormat="1" x14ac:dyDescent="0.2">
      <c r="C320" s="96" t="s">
        <v>56</v>
      </c>
      <c r="E320" s="80">
        <v>0</v>
      </c>
      <c r="F320" s="80"/>
      <c r="G320" s="80"/>
      <c r="H320" s="80">
        <v>0</v>
      </c>
    </row>
    <row r="321" spans="1:9" s="96" customFormat="1" x14ac:dyDescent="0.2">
      <c r="C321" s="96" t="s">
        <v>382</v>
      </c>
      <c r="E321" s="80">
        <f>E319-E320</f>
        <v>700000</v>
      </c>
      <c r="F321" s="80"/>
      <c r="G321" s="80"/>
      <c r="H321" s="80">
        <f>H319-H320</f>
        <v>1200000</v>
      </c>
    </row>
    <row r="322" spans="1:9" x14ac:dyDescent="0.2">
      <c r="A322" s="96"/>
      <c r="B322" s="96"/>
      <c r="C322" s="96" t="s">
        <v>90</v>
      </c>
      <c r="D322" s="96"/>
      <c r="E322" s="82">
        <v>0.4</v>
      </c>
      <c r="F322" s="96"/>
      <c r="G322" s="96"/>
      <c r="H322" s="82">
        <v>0.33</v>
      </c>
      <c r="I322" s="96"/>
    </row>
    <row r="323" spans="1:9" x14ac:dyDescent="0.2">
      <c r="A323" s="96"/>
      <c r="B323" s="96"/>
      <c r="C323" s="96" t="s">
        <v>360</v>
      </c>
      <c r="D323" s="96"/>
      <c r="E323" s="80">
        <f>E321*E322</f>
        <v>280000</v>
      </c>
      <c r="F323" s="80"/>
      <c r="G323" s="80"/>
      <c r="H323" s="80">
        <f>H321*H322</f>
        <v>396000</v>
      </c>
      <c r="I323" s="96"/>
    </row>
    <row r="324" spans="1:9" x14ac:dyDescent="0.2">
      <c r="A324" s="96"/>
      <c r="B324" s="96"/>
      <c r="C324" s="96"/>
      <c r="D324" s="96"/>
      <c r="E324" s="96"/>
    </row>
    <row r="326" spans="1:9" x14ac:dyDescent="0.2">
      <c r="A326" s="1" t="s">
        <v>275</v>
      </c>
      <c r="B326" s="1" t="s">
        <v>383</v>
      </c>
    </row>
    <row r="327" spans="1:9" x14ac:dyDescent="0.2">
      <c r="B327" s="1" t="s">
        <v>384</v>
      </c>
    </row>
    <row r="328" spans="1:9" x14ac:dyDescent="0.2">
      <c r="B328" s="1" t="s">
        <v>385</v>
      </c>
    </row>
    <row r="330" spans="1:9" x14ac:dyDescent="0.2">
      <c r="A330" s="38" t="s">
        <v>303</v>
      </c>
      <c r="B330" s="38" t="s">
        <v>387</v>
      </c>
      <c r="C330" s="38"/>
      <c r="D330" s="38" t="s">
        <v>388</v>
      </c>
      <c r="E330" s="38"/>
      <c r="F330" s="38"/>
      <c r="G330" s="38">
        <f>H321-E321</f>
        <v>500000</v>
      </c>
    </row>
    <row r="331" spans="1:9" x14ac:dyDescent="0.2">
      <c r="A331" s="38"/>
      <c r="B331" s="38"/>
      <c r="C331" s="38"/>
      <c r="D331" s="38"/>
      <c r="E331" s="38"/>
      <c r="F331" s="38"/>
      <c r="G331" s="38"/>
    </row>
    <row r="332" spans="1:9" x14ac:dyDescent="0.2">
      <c r="A332" s="38" t="s">
        <v>386</v>
      </c>
      <c r="B332" s="38" t="s">
        <v>389</v>
      </c>
      <c r="C332" s="38"/>
      <c r="D332" s="38"/>
      <c r="E332" s="38"/>
      <c r="F332" s="38"/>
      <c r="G332" s="43">
        <f>E323-H323</f>
        <v>-116000</v>
      </c>
    </row>
    <row r="334" spans="1:9" x14ac:dyDescent="0.2">
      <c r="A334" s="1" t="s">
        <v>2431</v>
      </c>
    </row>
    <row r="336" spans="1:9" x14ac:dyDescent="0.2">
      <c r="D336" s="16" t="s">
        <v>2435</v>
      </c>
      <c r="E336" s="16"/>
      <c r="G336" s="16" t="s">
        <v>525</v>
      </c>
      <c r="H336" s="16"/>
    </row>
    <row r="337" spans="1:9" x14ac:dyDescent="0.2">
      <c r="B337" s="7">
        <v>41274</v>
      </c>
      <c r="C337" s="1" t="s">
        <v>2432</v>
      </c>
      <c r="D337" s="8">
        <v>700000</v>
      </c>
      <c r="G337" s="1" t="s">
        <v>2436</v>
      </c>
      <c r="I337" s="259">
        <v>500000</v>
      </c>
    </row>
    <row r="338" spans="1:9" x14ac:dyDescent="0.2">
      <c r="B338" s="1">
        <v>2013</v>
      </c>
      <c r="C338" s="1" t="s">
        <v>2433</v>
      </c>
      <c r="D338" s="8">
        <v>-500000</v>
      </c>
    </row>
    <row r="339" spans="1:9" x14ac:dyDescent="0.2">
      <c r="B339" s="1">
        <v>2013</v>
      </c>
      <c r="C339" s="1" t="s">
        <v>2434</v>
      </c>
      <c r="D339" s="259">
        <v>1000000</v>
      </c>
    </row>
    <row r="340" spans="1:9" x14ac:dyDescent="0.2">
      <c r="B340" s="7">
        <v>41639</v>
      </c>
      <c r="C340" s="1" t="s">
        <v>2432</v>
      </c>
      <c r="D340" s="46">
        <v>1200000</v>
      </c>
    </row>
    <row r="342" spans="1:9" x14ac:dyDescent="0.2">
      <c r="B342" s="1" t="s">
        <v>2437</v>
      </c>
    </row>
    <row r="343" spans="1:9" x14ac:dyDescent="0.2">
      <c r="B343" s="1" t="s">
        <v>2438</v>
      </c>
    </row>
    <row r="344" spans="1:9" x14ac:dyDescent="0.2">
      <c r="B344" s="1" t="s">
        <v>2439</v>
      </c>
    </row>
    <row r="345" spans="1:9" ht="17" thickBot="1" x14ac:dyDescent="0.25"/>
    <row r="346" spans="1:9" x14ac:dyDescent="0.2">
      <c r="A346" s="22" t="s">
        <v>232</v>
      </c>
      <c r="B346" s="23"/>
      <c r="C346" s="23"/>
      <c r="D346" s="23"/>
      <c r="E346" s="23"/>
      <c r="F346" s="23"/>
      <c r="G346" s="23"/>
      <c r="H346" s="35"/>
    </row>
    <row r="347" spans="1:9" x14ac:dyDescent="0.2">
      <c r="A347" s="26" t="s">
        <v>233</v>
      </c>
      <c r="H347" s="36"/>
    </row>
    <row r="348" spans="1:9" x14ac:dyDescent="0.2">
      <c r="A348" s="26" t="s">
        <v>234</v>
      </c>
      <c r="H348" s="36"/>
    </row>
    <row r="349" spans="1:9" ht="17" thickBot="1" x14ac:dyDescent="0.25">
      <c r="A349" s="28" t="s">
        <v>235</v>
      </c>
      <c r="B349" s="29"/>
      <c r="C349" s="29"/>
      <c r="D349" s="29"/>
      <c r="E349" s="29"/>
      <c r="F349" s="29"/>
      <c r="G349" s="29"/>
      <c r="H349" s="37"/>
    </row>
    <row r="351" spans="1:9" s="96" customFormat="1" x14ac:dyDescent="0.2">
      <c r="A351" s="96" t="s">
        <v>390</v>
      </c>
      <c r="E351" s="94">
        <v>41274</v>
      </c>
      <c r="F351" s="160"/>
      <c r="G351" s="160"/>
      <c r="H351" s="94">
        <v>41639</v>
      </c>
    </row>
    <row r="352" spans="1:9" s="96" customFormat="1" x14ac:dyDescent="0.2">
      <c r="A352" s="96" t="s">
        <v>391</v>
      </c>
      <c r="C352" s="96" t="s">
        <v>57</v>
      </c>
      <c r="E352" s="96">
        <v>40000</v>
      </c>
      <c r="H352" s="96">
        <v>30000</v>
      </c>
    </row>
    <row r="353" spans="1:9" s="96" customFormat="1" x14ac:dyDescent="0.2">
      <c r="A353" s="96" t="s">
        <v>392</v>
      </c>
      <c r="C353" s="96" t="s">
        <v>56</v>
      </c>
      <c r="E353" s="96">
        <v>0</v>
      </c>
      <c r="H353" s="96">
        <v>0</v>
      </c>
    </row>
    <row r="354" spans="1:9" x14ac:dyDescent="0.2">
      <c r="A354" s="93" t="s">
        <v>393</v>
      </c>
      <c r="B354" s="93"/>
      <c r="C354" s="96" t="s">
        <v>382</v>
      </c>
      <c r="D354" s="96"/>
      <c r="E354" s="96">
        <f>E352-E353</f>
        <v>40000</v>
      </c>
      <c r="F354" s="96"/>
      <c r="G354" s="96"/>
      <c r="H354" s="96">
        <f>H352-H353</f>
        <v>30000</v>
      </c>
    </row>
    <row r="355" spans="1:9" x14ac:dyDescent="0.2">
      <c r="A355" s="93" t="s">
        <v>394</v>
      </c>
      <c r="B355" s="93"/>
      <c r="C355" s="96" t="s">
        <v>90</v>
      </c>
      <c r="D355" s="96"/>
      <c r="E355" s="82">
        <v>0.4</v>
      </c>
      <c r="F355" s="96"/>
      <c r="G355" s="96"/>
      <c r="H355" s="82">
        <v>0.33</v>
      </c>
    </row>
    <row r="356" spans="1:9" x14ac:dyDescent="0.2">
      <c r="A356" s="93"/>
      <c r="B356" s="93"/>
      <c r="C356" s="96" t="s">
        <v>360</v>
      </c>
      <c r="D356" s="96"/>
      <c r="E356" s="96">
        <f>E354*E355</f>
        <v>16000</v>
      </c>
      <c r="F356" s="96"/>
      <c r="G356" s="96"/>
      <c r="H356" s="96">
        <f>H354*H355</f>
        <v>9900</v>
      </c>
      <c r="I356" s="96"/>
    </row>
    <row r="358" spans="1:9" x14ac:dyDescent="0.2">
      <c r="A358" s="1" t="s">
        <v>395</v>
      </c>
    </row>
    <row r="359" spans="1:9" x14ac:dyDescent="0.2">
      <c r="A359" s="1" t="s">
        <v>396</v>
      </c>
    </row>
    <row r="361" spans="1:9" x14ac:dyDescent="0.2">
      <c r="A361" s="1" t="s">
        <v>397</v>
      </c>
    </row>
    <row r="362" spans="1:9" x14ac:dyDescent="0.2">
      <c r="A362" s="1" t="s">
        <v>398</v>
      </c>
    </row>
    <row r="364" spans="1:9" x14ac:dyDescent="0.2">
      <c r="A364" s="38" t="s">
        <v>303</v>
      </c>
      <c r="B364" s="38" t="s">
        <v>410</v>
      </c>
      <c r="C364" s="38"/>
      <c r="D364" s="38"/>
      <c r="E364" s="38"/>
      <c r="F364" s="43">
        <f>H354-E354</f>
        <v>-10000</v>
      </c>
    </row>
    <row r="365" spans="1:9" x14ac:dyDescent="0.2">
      <c r="A365" s="38"/>
      <c r="B365" s="38"/>
      <c r="C365" s="38"/>
      <c r="D365" s="38"/>
      <c r="E365" s="38"/>
      <c r="F365" s="38"/>
    </row>
    <row r="366" spans="1:9" x14ac:dyDescent="0.2">
      <c r="A366" s="38" t="s">
        <v>386</v>
      </c>
      <c r="B366" s="38" t="s">
        <v>399</v>
      </c>
      <c r="C366" s="38"/>
      <c r="D366" s="38"/>
      <c r="E366" s="38"/>
      <c r="F366" s="38">
        <f>E356-H356</f>
        <v>6100</v>
      </c>
    </row>
    <row r="368" spans="1:9" x14ac:dyDescent="0.2">
      <c r="A368" s="3" t="s">
        <v>400</v>
      </c>
      <c r="F368" s="96"/>
      <c r="G368" s="96"/>
      <c r="H368" s="96"/>
      <c r="I368" s="96"/>
    </row>
    <row r="369" spans="1:9" x14ac:dyDescent="0.2">
      <c r="A369" s="1" t="s">
        <v>401</v>
      </c>
      <c r="F369" s="96"/>
      <c r="G369" s="96"/>
      <c r="H369" s="96"/>
      <c r="I369" s="96"/>
    </row>
    <row r="370" spans="1:9" x14ac:dyDescent="0.2">
      <c r="F370" s="96"/>
      <c r="G370" s="96"/>
      <c r="H370" s="96"/>
      <c r="I370" s="96"/>
    </row>
    <row r="371" spans="1:9" s="96" customFormat="1" x14ac:dyDescent="0.2">
      <c r="A371" s="96" t="s">
        <v>2443</v>
      </c>
      <c r="B371" s="96" t="s">
        <v>402</v>
      </c>
      <c r="E371" s="80">
        <f>E352</f>
        <v>40000</v>
      </c>
    </row>
    <row r="372" spans="1:9" x14ac:dyDescent="0.2">
      <c r="B372" s="96" t="s">
        <v>403</v>
      </c>
      <c r="C372" s="96"/>
      <c r="D372" s="96"/>
      <c r="E372" s="80">
        <v>-4000</v>
      </c>
      <c r="F372" s="255" t="s">
        <v>2444</v>
      </c>
      <c r="G372" s="96"/>
      <c r="H372" s="96"/>
      <c r="I372" s="96"/>
    </row>
    <row r="373" spans="1:9" x14ac:dyDescent="0.2">
      <c r="B373" s="96" t="s">
        <v>407</v>
      </c>
      <c r="C373" s="96"/>
      <c r="D373" s="96"/>
      <c r="E373" s="80">
        <f>E374-E372-E371</f>
        <v>-6000</v>
      </c>
      <c r="F373" s="255" t="s">
        <v>2445</v>
      </c>
      <c r="G373" s="96"/>
      <c r="H373" s="96"/>
      <c r="I373" s="96"/>
    </row>
    <row r="374" spans="1:9" s="96" customFormat="1" x14ac:dyDescent="0.2">
      <c r="B374" s="96" t="s">
        <v>404</v>
      </c>
      <c r="E374" s="80">
        <v>30000</v>
      </c>
    </row>
    <row r="375" spans="1:9" x14ac:dyDescent="0.2">
      <c r="E375" s="244"/>
      <c r="F375" s="96"/>
      <c r="G375" s="96"/>
      <c r="H375" s="96"/>
      <c r="I375" s="96"/>
    </row>
    <row r="376" spans="1:9" x14ac:dyDescent="0.2">
      <c r="B376" s="1" t="s">
        <v>406</v>
      </c>
      <c r="E376" s="244">
        <v>6000</v>
      </c>
      <c r="F376" s="255" t="s">
        <v>408</v>
      </c>
      <c r="G376" s="96"/>
      <c r="H376" s="96"/>
      <c r="I376" s="96"/>
    </row>
    <row r="377" spans="1:9" x14ac:dyDescent="0.2">
      <c r="B377" s="1" t="s">
        <v>2440</v>
      </c>
      <c r="E377" s="80">
        <v>4000</v>
      </c>
      <c r="F377" s="255" t="s">
        <v>405</v>
      </c>
      <c r="G377" s="96"/>
      <c r="H377" s="96"/>
      <c r="I377" s="96"/>
    </row>
    <row r="378" spans="1:9" x14ac:dyDescent="0.2">
      <c r="E378" s="244"/>
      <c r="F378" s="96"/>
      <c r="G378" s="96"/>
      <c r="H378" s="96"/>
      <c r="I378" s="96"/>
    </row>
    <row r="379" spans="1:9" x14ac:dyDescent="0.2">
      <c r="B379" s="1" t="s">
        <v>2441</v>
      </c>
      <c r="E379" s="80">
        <v>-6000</v>
      </c>
      <c r="F379" s="260" t="s">
        <v>2446</v>
      </c>
      <c r="G379" s="96"/>
      <c r="H379" s="96"/>
      <c r="I379" s="96"/>
    </row>
    <row r="380" spans="1:9" x14ac:dyDescent="0.2">
      <c r="B380" s="1" t="s">
        <v>2442</v>
      </c>
      <c r="E380" s="80">
        <v>-4000</v>
      </c>
      <c r="F380" s="260" t="s">
        <v>2447</v>
      </c>
      <c r="G380" s="96"/>
      <c r="H380" s="96"/>
      <c r="I380" s="96"/>
    </row>
    <row r="381" spans="1:9" x14ac:dyDescent="0.2">
      <c r="B381" s="1" t="s">
        <v>409</v>
      </c>
      <c r="E381" s="261">
        <f>E379+E380</f>
        <v>-10000</v>
      </c>
      <c r="F381" s="93"/>
    </row>
    <row r="383" spans="1:9" x14ac:dyDescent="0.2">
      <c r="A383" s="1" t="s">
        <v>2448</v>
      </c>
    </row>
    <row r="384" spans="1:9" x14ac:dyDescent="0.2">
      <c r="A384" s="1" t="s">
        <v>2449</v>
      </c>
    </row>
    <row r="386" spans="1:8" ht="26" x14ac:dyDescent="0.3">
      <c r="A386" s="262" t="s">
        <v>2451</v>
      </c>
      <c r="B386" s="16"/>
      <c r="C386" s="16"/>
      <c r="D386" s="16"/>
      <c r="E386" s="16"/>
      <c r="F386" s="16"/>
      <c r="G386" s="16"/>
      <c r="H386" s="16"/>
    </row>
    <row r="387" spans="1:8" ht="17" thickBot="1" x14ac:dyDescent="0.25"/>
    <row r="388" spans="1:8" x14ac:dyDescent="0.2">
      <c r="A388" s="22" t="s">
        <v>2452</v>
      </c>
      <c r="B388" s="23"/>
      <c r="C388" s="23"/>
      <c r="D388" s="23"/>
      <c r="E388" s="23"/>
      <c r="F388" s="23"/>
      <c r="G388" s="23"/>
      <c r="H388" s="35"/>
    </row>
    <row r="389" spans="1:8" x14ac:dyDescent="0.2">
      <c r="A389" s="26" t="s">
        <v>2453</v>
      </c>
      <c r="H389" s="36"/>
    </row>
    <row r="390" spans="1:8" x14ac:dyDescent="0.2">
      <c r="A390" s="26" t="s">
        <v>2454</v>
      </c>
      <c r="H390" s="36"/>
    </row>
    <row r="391" spans="1:8" x14ac:dyDescent="0.2">
      <c r="A391" s="26" t="s">
        <v>2455</v>
      </c>
      <c r="H391" s="36"/>
    </row>
    <row r="392" spans="1:8" x14ac:dyDescent="0.2">
      <c r="A392" s="26" t="s">
        <v>2456</v>
      </c>
      <c r="H392" s="36"/>
    </row>
    <row r="393" spans="1:8" ht="17" thickBot="1" x14ac:dyDescent="0.25">
      <c r="A393" s="28" t="s">
        <v>2457</v>
      </c>
      <c r="B393" s="29"/>
      <c r="C393" s="29"/>
      <c r="D393" s="29"/>
      <c r="E393" s="29"/>
      <c r="F393" s="29"/>
      <c r="G393" s="29"/>
      <c r="H393" s="37"/>
    </row>
    <row r="395" spans="1:8" x14ac:dyDescent="0.2">
      <c r="A395" s="1" t="s">
        <v>2458</v>
      </c>
    </row>
    <row r="396" spans="1:8" x14ac:dyDescent="0.2">
      <c r="A396" s="3" t="s">
        <v>2459</v>
      </c>
    </row>
    <row r="397" spans="1:8" ht="17" thickBot="1" x14ac:dyDescent="0.25"/>
    <row r="398" spans="1:8" x14ac:dyDescent="0.2">
      <c r="A398" s="22" t="s">
        <v>236</v>
      </c>
      <c r="B398" s="23"/>
      <c r="C398" s="23"/>
      <c r="D398" s="23"/>
      <c r="E398" s="23"/>
      <c r="F398" s="23"/>
      <c r="G398" s="23"/>
      <c r="H398" s="35"/>
    </row>
    <row r="399" spans="1:8" x14ac:dyDescent="0.2">
      <c r="A399" s="26" t="s">
        <v>237</v>
      </c>
      <c r="H399" s="36"/>
    </row>
    <row r="400" spans="1:8" x14ac:dyDescent="0.2">
      <c r="A400" s="26" t="s">
        <v>238</v>
      </c>
      <c r="H400" s="36"/>
    </row>
    <row r="401" spans="1:8" ht="17" thickBot="1" x14ac:dyDescent="0.25">
      <c r="A401" s="28" t="s">
        <v>239</v>
      </c>
      <c r="B401" s="29"/>
      <c r="C401" s="29"/>
      <c r="D401" s="29"/>
      <c r="E401" s="29"/>
      <c r="F401" s="29"/>
      <c r="G401" s="29"/>
      <c r="H401" s="37"/>
    </row>
    <row r="403" spans="1:8" x14ac:dyDescent="0.2">
      <c r="A403" s="54" t="s">
        <v>442</v>
      </c>
    </row>
    <row r="404" spans="1:8" x14ac:dyDescent="0.2">
      <c r="A404" s="54" t="s">
        <v>443</v>
      </c>
    </row>
    <row r="406" spans="1:8" x14ac:dyDescent="0.2">
      <c r="A406" s="1" t="s">
        <v>444</v>
      </c>
      <c r="C406" s="1" t="s">
        <v>445</v>
      </c>
      <c r="D406" s="1" t="s">
        <v>446</v>
      </c>
      <c r="F406" s="8">
        <v>40000</v>
      </c>
    </row>
    <row r="407" spans="1:8" x14ac:dyDescent="0.2">
      <c r="F407" s="8"/>
    </row>
    <row r="408" spans="1:8" x14ac:dyDescent="0.2">
      <c r="F408" s="8"/>
    </row>
    <row r="409" spans="1:8" x14ac:dyDescent="0.2">
      <c r="D409" s="1" t="s">
        <v>2460</v>
      </c>
      <c r="F409" s="8"/>
    </row>
    <row r="410" spans="1:8" x14ac:dyDescent="0.2">
      <c r="D410" s="1" t="s">
        <v>2461</v>
      </c>
      <c r="F410" s="8"/>
    </row>
    <row r="411" spans="1:8" x14ac:dyDescent="0.2">
      <c r="D411" s="1" t="s">
        <v>2462</v>
      </c>
      <c r="F411" s="8"/>
    </row>
    <row r="412" spans="1:8" x14ac:dyDescent="0.2">
      <c r="F412" s="8"/>
    </row>
    <row r="413" spans="1:8" x14ac:dyDescent="0.2">
      <c r="D413" s="3" t="s">
        <v>2463</v>
      </c>
      <c r="E413" s="3"/>
      <c r="F413" s="263"/>
      <c r="G413" s="3"/>
      <c r="H413" s="3"/>
    </row>
    <row r="414" spans="1:8" x14ac:dyDescent="0.2">
      <c r="D414" s="3" t="s">
        <v>2464</v>
      </c>
      <c r="E414" s="3"/>
      <c r="F414" s="263"/>
      <c r="G414" s="3"/>
      <c r="H414" s="3"/>
    </row>
    <row r="415" spans="1:8" ht="17" thickBot="1" x14ac:dyDescent="0.25">
      <c r="F415" s="8"/>
    </row>
    <row r="416" spans="1:8" x14ac:dyDescent="0.2">
      <c r="A416" s="22" t="s">
        <v>240</v>
      </c>
      <c r="B416" s="23"/>
      <c r="C416" s="23"/>
      <c r="D416" s="23"/>
      <c r="E416" s="23"/>
      <c r="F416" s="23"/>
      <c r="G416" s="23"/>
      <c r="H416" s="35"/>
    </row>
    <row r="417" spans="1:8" x14ac:dyDescent="0.2">
      <c r="A417" s="26" t="s">
        <v>241</v>
      </c>
      <c r="H417" s="36"/>
    </row>
    <row r="418" spans="1:8" ht="17" thickBot="1" x14ac:dyDescent="0.25">
      <c r="A418" s="28" t="s">
        <v>242</v>
      </c>
      <c r="B418" s="29"/>
      <c r="C418" s="29"/>
      <c r="D418" s="29"/>
      <c r="E418" s="29"/>
      <c r="F418" s="29"/>
      <c r="G418" s="29"/>
      <c r="H418" s="37"/>
    </row>
    <row r="419" spans="1:8" s="96" customFormat="1" x14ac:dyDescent="0.2"/>
    <row r="420" spans="1:8" s="96" customFormat="1" x14ac:dyDescent="0.2">
      <c r="A420" s="96" t="s">
        <v>447</v>
      </c>
    </row>
    <row r="421" spans="1:8" s="96" customFormat="1" x14ac:dyDescent="0.2">
      <c r="A421" s="96" t="s">
        <v>448</v>
      </c>
      <c r="C421" s="96" t="s">
        <v>445</v>
      </c>
      <c r="D421" s="96" t="s">
        <v>449</v>
      </c>
      <c r="F421" s="157">
        <v>140000</v>
      </c>
    </row>
    <row r="422" spans="1:8" s="96" customFormat="1" x14ac:dyDescent="0.2">
      <c r="A422" s="96" t="s">
        <v>450</v>
      </c>
    </row>
    <row r="423" spans="1:8" s="96" customFormat="1" x14ac:dyDescent="0.2">
      <c r="C423" s="96" t="s">
        <v>452</v>
      </c>
      <c r="F423" s="80">
        <f>140000*40%</f>
        <v>56000</v>
      </c>
      <c r="H423" s="96" t="s">
        <v>451</v>
      </c>
    </row>
    <row r="425" spans="1:8" ht="17" thickBot="1" x14ac:dyDescent="0.25"/>
    <row r="426" spans="1:8" x14ac:dyDescent="0.2">
      <c r="A426" s="22" t="s">
        <v>243</v>
      </c>
      <c r="B426" s="23"/>
      <c r="C426" s="23"/>
      <c r="D426" s="23"/>
      <c r="E426" s="23"/>
      <c r="F426" s="23"/>
      <c r="G426" s="23"/>
      <c r="H426" s="35"/>
    </row>
    <row r="427" spans="1:8" x14ac:dyDescent="0.2">
      <c r="A427" s="26" t="s">
        <v>455</v>
      </c>
      <c r="H427" s="36"/>
    </row>
    <row r="428" spans="1:8" ht="17" thickBot="1" x14ac:dyDescent="0.25">
      <c r="A428" s="28" t="s">
        <v>245</v>
      </c>
      <c r="B428" s="29"/>
      <c r="C428" s="29"/>
      <c r="D428" s="29"/>
      <c r="E428" s="29"/>
      <c r="F428" s="29"/>
      <c r="G428" s="29"/>
      <c r="H428" s="37"/>
    </row>
    <row r="430" spans="1:8" x14ac:dyDescent="0.2">
      <c r="A430" s="1" t="s">
        <v>453</v>
      </c>
    </row>
    <row r="431" spans="1:8" x14ac:dyDescent="0.2">
      <c r="A431" s="1" t="s">
        <v>454</v>
      </c>
    </row>
    <row r="433" spans="1:8" x14ac:dyDescent="0.2">
      <c r="A433" s="1" t="s">
        <v>456</v>
      </c>
    </row>
    <row r="434" spans="1:8" x14ac:dyDescent="0.2">
      <c r="A434" s="1" t="s">
        <v>457</v>
      </c>
    </row>
    <row r="436" spans="1:8" x14ac:dyDescent="0.2">
      <c r="A436" s="3" t="s">
        <v>458</v>
      </c>
      <c r="B436" s="3"/>
      <c r="C436" s="3"/>
      <c r="D436" s="3"/>
      <c r="E436" s="3"/>
      <c r="F436" s="3"/>
      <c r="G436" s="3"/>
      <c r="H436" s="3"/>
    </row>
    <row r="437" spans="1:8" x14ac:dyDescent="0.2">
      <c r="A437" s="1" t="s">
        <v>459</v>
      </c>
    </row>
    <row r="438" spans="1:8" x14ac:dyDescent="0.2">
      <c r="C438" s="1" t="s">
        <v>460</v>
      </c>
      <c r="G438" s="8">
        <v>300000</v>
      </c>
    </row>
    <row r="440" spans="1:8" x14ac:dyDescent="0.2">
      <c r="A440" s="1" t="s">
        <v>461</v>
      </c>
    </row>
    <row r="441" spans="1:8" x14ac:dyDescent="0.2">
      <c r="C441" s="1" t="s">
        <v>462</v>
      </c>
      <c r="F441" s="8">
        <v>60000</v>
      </c>
      <c r="H441" s="1" t="s">
        <v>463</v>
      </c>
    </row>
    <row r="442" spans="1:8" ht="17" thickBot="1" x14ac:dyDescent="0.25"/>
    <row r="443" spans="1:8" x14ac:dyDescent="0.2">
      <c r="A443" s="22" t="s">
        <v>246</v>
      </c>
      <c r="B443" s="23"/>
      <c r="C443" s="23"/>
      <c r="D443" s="23"/>
      <c r="E443" s="23"/>
      <c r="F443" s="23"/>
      <c r="G443" s="23"/>
      <c r="H443" s="35"/>
    </row>
    <row r="444" spans="1:8" x14ac:dyDescent="0.2">
      <c r="A444" s="26" t="s">
        <v>247</v>
      </c>
      <c r="H444" s="36"/>
    </row>
    <row r="445" spans="1:8" x14ac:dyDescent="0.2">
      <c r="A445" s="26" t="s">
        <v>248</v>
      </c>
      <c r="H445" s="36"/>
    </row>
    <row r="446" spans="1:8" x14ac:dyDescent="0.2">
      <c r="A446" s="26" t="s">
        <v>249</v>
      </c>
      <c r="H446" s="36"/>
    </row>
    <row r="447" spans="1:8" ht="17" thickBot="1" x14ac:dyDescent="0.25">
      <c r="A447" s="28" t="s">
        <v>250</v>
      </c>
      <c r="B447" s="29"/>
      <c r="C447" s="29"/>
      <c r="D447" s="29"/>
      <c r="E447" s="29"/>
      <c r="F447" s="29"/>
      <c r="G447" s="29"/>
      <c r="H447" s="37"/>
    </row>
    <row r="449" spans="1:8" x14ac:dyDescent="0.2">
      <c r="A449" s="3" t="s">
        <v>251</v>
      </c>
    </row>
    <row r="450" spans="1:8" x14ac:dyDescent="0.2">
      <c r="A450" s="3" t="s">
        <v>252</v>
      </c>
    </row>
    <row r="451" spans="1:8" ht="17" thickBot="1" x14ac:dyDescent="0.25"/>
    <row r="452" spans="1:8" s="3" customFormat="1" ht="17" thickBot="1" x14ac:dyDescent="0.25">
      <c r="A452" s="57" t="s">
        <v>464</v>
      </c>
      <c r="B452" s="58"/>
      <c r="C452" s="58"/>
      <c r="D452" s="58"/>
      <c r="E452" s="58"/>
      <c r="F452" s="58"/>
      <c r="G452" s="58"/>
      <c r="H452" s="59"/>
    </row>
    <row r="453" spans="1:8" x14ac:dyDescent="0.2">
      <c r="E453" s="1" t="s">
        <v>465</v>
      </c>
    </row>
    <row r="454" spans="1:8" x14ac:dyDescent="0.2">
      <c r="E454" s="16" t="s">
        <v>466</v>
      </c>
      <c r="F454" s="16"/>
      <c r="G454" s="16"/>
    </row>
    <row r="455" spans="1:8" x14ac:dyDescent="0.2">
      <c r="B455" s="1" t="s">
        <v>63</v>
      </c>
      <c r="E455" s="80">
        <v>4000000</v>
      </c>
      <c r="F455" s="96"/>
      <c r="G455" s="96"/>
      <c r="H455" s="96"/>
    </row>
    <row r="456" spans="1:8" x14ac:dyDescent="0.2">
      <c r="E456" s="244"/>
    </row>
    <row r="457" spans="1:8" x14ac:dyDescent="0.2">
      <c r="B457" s="1" t="s">
        <v>467</v>
      </c>
      <c r="E457" s="244"/>
    </row>
    <row r="458" spans="1:8" x14ac:dyDescent="0.2">
      <c r="B458" s="1" t="s">
        <v>474</v>
      </c>
      <c r="E458" s="80">
        <f>E109</f>
        <v>5000</v>
      </c>
    </row>
    <row r="459" spans="1:8" x14ac:dyDescent="0.2">
      <c r="B459" s="1" t="s">
        <v>476</v>
      </c>
      <c r="E459" s="80">
        <v>100000</v>
      </c>
    </row>
    <row r="460" spans="1:8" x14ac:dyDescent="0.2">
      <c r="B460" s="55" t="s">
        <v>480</v>
      </c>
      <c r="E460" s="80">
        <v>500000</v>
      </c>
    </row>
    <row r="461" spans="1:8" s="96" customFormat="1" x14ac:dyDescent="0.2">
      <c r="B461" s="265" t="s">
        <v>482</v>
      </c>
      <c r="E461" s="80">
        <v>40000</v>
      </c>
    </row>
    <row r="462" spans="1:8" s="96" customFormat="1" x14ac:dyDescent="0.2">
      <c r="B462" s="265" t="s">
        <v>483</v>
      </c>
      <c r="E462" s="80">
        <v>140000</v>
      </c>
    </row>
    <row r="463" spans="1:8" x14ac:dyDescent="0.2">
      <c r="B463" s="55"/>
      <c r="E463" s="244"/>
    </row>
    <row r="464" spans="1:8" x14ac:dyDescent="0.2">
      <c r="B464" s="1" t="s">
        <v>468</v>
      </c>
      <c r="E464" s="244"/>
    </row>
    <row r="465" spans="2:8" s="96" customFormat="1" x14ac:dyDescent="0.2">
      <c r="B465" s="96" t="s">
        <v>477</v>
      </c>
      <c r="E465" s="80">
        <v>-200000</v>
      </c>
    </row>
    <row r="466" spans="2:8" s="96" customFormat="1" x14ac:dyDescent="0.2">
      <c r="B466" s="96" t="s">
        <v>478</v>
      </c>
      <c r="E466" s="80">
        <v>-28000</v>
      </c>
    </row>
    <row r="467" spans="2:8" s="96" customFormat="1" x14ac:dyDescent="0.2">
      <c r="B467" s="96" t="s">
        <v>479</v>
      </c>
      <c r="E467" s="80">
        <v>-150000</v>
      </c>
    </row>
    <row r="468" spans="2:8" s="96" customFormat="1" x14ac:dyDescent="0.2">
      <c r="B468" s="96" t="s">
        <v>481</v>
      </c>
      <c r="E468" s="80">
        <v>-10000</v>
      </c>
    </row>
    <row r="469" spans="2:8" s="96" customFormat="1" x14ac:dyDescent="0.2">
      <c r="B469" s="96" t="s">
        <v>484</v>
      </c>
      <c r="E469" s="80">
        <v>-300000</v>
      </c>
    </row>
    <row r="470" spans="2:8" x14ac:dyDescent="0.2">
      <c r="E470" s="10"/>
    </row>
    <row r="471" spans="2:8" s="96" customFormat="1" x14ac:dyDescent="0.2">
      <c r="B471" s="96" t="s">
        <v>469</v>
      </c>
      <c r="E471" s="81">
        <f>SUM(E455:E469)</f>
        <v>4097000</v>
      </c>
    </row>
    <row r="472" spans="2:8" x14ac:dyDescent="0.2">
      <c r="E472" s="93"/>
    </row>
    <row r="473" spans="2:8" x14ac:dyDescent="0.2">
      <c r="B473" s="1" t="s">
        <v>485</v>
      </c>
      <c r="E473" s="82">
        <v>0.35</v>
      </c>
    </row>
    <row r="474" spans="2:8" x14ac:dyDescent="0.2">
      <c r="E474" s="264"/>
    </row>
    <row r="475" spans="2:8" s="96" customFormat="1" x14ac:dyDescent="0.2">
      <c r="B475" s="96" t="s">
        <v>470</v>
      </c>
      <c r="E475" s="81">
        <f>E471*E473</f>
        <v>1433950</v>
      </c>
    </row>
    <row r="476" spans="2:8" x14ac:dyDescent="0.2">
      <c r="E476" s="93"/>
    </row>
    <row r="477" spans="2:8" s="96" customFormat="1" x14ac:dyDescent="0.2">
      <c r="B477" s="96" t="s">
        <v>471</v>
      </c>
      <c r="E477" s="80">
        <f>-F423</f>
        <v>-56000</v>
      </c>
      <c r="H477" s="96" t="s">
        <v>451</v>
      </c>
    </row>
    <row r="478" spans="2:8" x14ac:dyDescent="0.2">
      <c r="B478" s="1" t="s">
        <v>472</v>
      </c>
      <c r="E478" s="157">
        <f>F441</f>
        <v>60000</v>
      </c>
      <c r="H478" s="1" t="s">
        <v>2465</v>
      </c>
    </row>
    <row r="480" spans="2:8" x14ac:dyDescent="0.2">
      <c r="B480" s="1" t="s">
        <v>473</v>
      </c>
      <c r="E480" s="56">
        <f>SUM(E475:E478)</f>
        <v>1437950</v>
      </c>
    </row>
    <row r="482" spans="1:9" x14ac:dyDescent="0.2">
      <c r="B482" s="3" t="s">
        <v>486</v>
      </c>
    </row>
    <row r="483" spans="1:9" x14ac:dyDescent="0.2">
      <c r="B483" s="1" t="s">
        <v>487</v>
      </c>
      <c r="D483" s="10">
        <f>E480</f>
        <v>1437950</v>
      </c>
    </row>
    <row r="484" spans="1:9" x14ac:dyDescent="0.2">
      <c r="B484" s="1" t="s">
        <v>488</v>
      </c>
      <c r="D484" s="10">
        <f>D483</f>
        <v>1437950</v>
      </c>
    </row>
    <row r="485" spans="1:9" ht="17" thickBot="1" x14ac:dyDescent="0.25"/>
    <row r="486" spans="1:9" s="3" customFormat="1" ht="17" thickBot="1" x14ac:dyDescent="0.25">
      <c r="A486" s="57" t="s">
        <v>489</v>
      </c>
      <c r="B486" s="58"/>
      <c r="C486" s="58"/>
      <c r="D486" s="58"/>
      <c r="E486" s="58"/>
      <c r="F486" s="58"/>
      <c r="G486" s="58"/>
      <c r="H486" s="59"/>
    </row>
    <row r="488" spans="1:9" x14ac:dyDescent="0.2">
      <c r="A488" s="409" t="s">
        <v>490</v>
      </c>
      <c r="B488" s="409"/>
      <c r="C488" s="408">
        <v>41274</v>
      </c>
      <c r="D488" s="408"/>
      <c r="E488" s="408">
        <v>41639</v>
      </c>
      <c r="F488" s="408"/>
      <c r="G488" s="93"/>
      <c r="H488" s="93"/>
      <c r="I488" s="93"/>
    </row>
    <row r="489" spans="1:9" ht="34" x14ac:dyDescent="0.2">
      <c r="A489" s="409"/>
      <c r="B489" s="409"/>
      <c r="C489" s="266" t="s">
        <v>492</v>
      </c>
      <c r="D489" s="266" t="s">
        <v>491</v>
      </c>
      <c r="E489" s="266" t="s">
        <v>492</v>
      </c>
      <c r="F489" s="266" t="s">
        <v>491</v>
      </c>
      <c r="G489" s="93"/>
      <c r="H489" s="93"/>
      <c r="I489" s="93"/>
    </row>
    <row r="490" spans="1:9" x14ac:dyDescent="0.2">
      <c r="A490" s="216" t="s">
        <v>493</v>
      </c>
      <c r="B490" s="216"/>
      <c r="C490" s="215">
        <v>10500</v>
      </c>
      <c r="D490" s="215"/>
      <c r="E490" s="215">
        <v>9688</v>
      </c>
      <c r="F490" s="215"/>
      <c r="G490" s="93"/>
      <c r="H490" s="93"/>
      <c r="I490" s="93"/>
    </row>
    <row r="491" spans="1:9" x14ac:dyDescent="0.2">
      <c r="A491" s="216" t="s">
        <v>494</v>
      </c>
      <c r="B491" s="216"/>
      <c r="C491" s="215"/>
      <c r="D491" s="215">
        <v>160000</v>
      </c>
      <c r="E491" s="215"/>
      <c r="F491" s="215">
        <v>95000</v>
      </c>
      <c r="G491" s="96" t="s">
        <v>2470</v>
      </c>
      <c r="H491" s="93"/>
      <c r="I491" s="93"/>
    </row>
    <row r="492" spans="1:9" x14ac:dyDescent="0.2">
      <c r="A492" s="216" t="s">
        <v>495</v>
      </c>
      <c r="B492" s="216"/>
      <c r="C492" s="215"/>
      <c r="D492" s="215">
        <v>125200</v>
      </c>
      <c r="E492" s="215"/>
      <c r="F492" s="215">
        <v>170800</v>
      </c>
      <c r="G492" s="93"/>
      <c r="H492" s="96" t="s">
        <v>946</v>
      </c>
      <c r="I492" s="96" t="s">
        <v>595</v>
      </c>
    </row>
    <row r="493" spans="1:9" x14ac:dyDescent="0.2">
      <c r="A493" s="216" t="s">
        <v>496</v>
      </c>
      <c r="B493" s="216"/>
      <c r="C493" s="215">
        <v>150000</v>
      </c>
      <c r="D493" s="215"/>
      <c r="E493" s="215">
        <v>72750</v>
      </c>
      <c r="F493" s="215"/>
      <c r="G493" s="96" t="s">
        <v>2466</v>
      </c>
      <c r="H493" s="96" t="s">
        <v>2467</v>
      </c>
      <c r="I493" s="96" t="s">
        <v>2469</v>
      </c>
    </row>
    <row r="494" spans="1:9" x14ac:dyDescent="0.2">
      <c r="A494" s="216" t="s">
        <v>497</v>
      </c>
      <c r="B494" s="216"/>
      <c r="C494" s="215">
        <v>280000</v>
      </c>
      <c r="D494" s="215"/>
      <c r="E494" s="215">
        <v>396000</v>
      </c>
      <c r="F494" s="215"/>
      <c r="G494" s="96" t="s">
        <v>2468</v>
      </c>
      <c r="H494" s="96" t="s">
        <v>2469</v>
      </c>
      <c r="I494" s="96" t="s">
        <v>2467</v>
      </c>
    </row>
    <row r="495" spans="1:9" x14ac:dyDescent="0.2">
      <c r="A495" s="216" t="s">
        <v>498</v>
      </c>
      <c r="B495" s="216"/>
      <c r="C495" s="215">
        <v>16000</v>
      </c>
      <c r="D495" s="215"/>
      <c r="E495" s="215">
        <v>9900</v>
      </c>
      <c r="F495" s="215"/>
      <c r="G495" s="93"/>
      <c r="H495" s="93"/>
      <c r="I495" s="93"/>
    </row>
    <row r="496" spans="1:9" s="96" customFormat="1" x14ac:dyDescent="0.2">
      <c r="A496" s="96" t="s">
        <v>499</v>
      </c>
      <c r="C496" s="81">
        <f>SUM(C490:C495)</f>
        <v>456500</v>
      </c>
      <c r="D496" s="81">
        <f>SUM(D490:D495)</f>
        <v>285200</v>
      </c>
      <c r="E496" s="81">
        <f>SUM(E490:E495)</f>
        <v>488338</v>
      </c>
      <c r="F496" s="81">
        <f>SUM(F490:F495)</f>
        <v>265800</v>
      </c>
    </row>
    <row r="497" spans="1:21" s="96" customFormat="1" x14ac:dyDescent="0.2">
      <c r="C497" s="80"/>
      <c r="D497" s="80"/>
      <c r="E497" s="80"/>
      <c r="F497" s="80"/>
    </row>
    <row r="498" spans="1:21" s="96" customFormat="1" x14ac:dyDescent="0.2">
      <c r="G498" s="96" t="s">
        <v>510</v>
      </c>
    </row>
    <row r="499" spans="1:21" s="96" customFormat="1" x14ac:dyDescent="0.2">
      <c r="A499" s="96" t="s">
        <v>500</v>
      </c>
      <c r="C499" s="80">
        <f>E496-C496</f>
        <v>31838</v>
      </c>
      <c r="E499" s="96" t="s">
        <v>501</v>
      </c>
      <c r="G499" s="96" t="s">
        <v>500</v>
      </c>
      <c r="I499" s="80">
        <f>C499</f>
        <v>31838</v>
      </c>
    </row>
    <row r="500" spans="1:21" s="96" customFormat="1" x14ac:dyDescent="0.2">
      <c r="A500" s="96" t="s">
        <v>502</v>
      </c>
      <c r="C500" s="80">
        <f>D496-F496</f>
        <v>19400</v>
      </c>
      <c r="E500" s="96" t="s">
        <v>503</v>
      </c>
      <c r="G500" s="96" t="s">
        <v>504</v>
      </c>
      <c r="I500" s="80">
        <f>I499</f>
        <v>31838</v>
      </c>
    </row>
    <row r="501" spans="1:21" s="96" customFormat="1" x14ac:dyDescent="0.2">
      <c r="A501" s="96" t="s">
        <v>504</v>
      </c>
      <c r="C501" s="80">
        <f>C499+C500</f>
        <v>51238</v>
      </c>
      <c r="E501" s="96" t="s">
        <v>505</v>
      </c>
    </row>
    <row r="502" spans="1:21" s="96" customFormat="1" x14ac:dyDescent="0.2">
      <c r="G502" s="96" t="s">
        <v>509</v>
      </c>
      <c r="I502" s="80">
        <f>C500</f>
        <v>19400</v>
      </c>
    </row>
    <row r="503" spans="1:21" s="96" customFormat="1" x14ac:dyDescent="0.2">
      <c r="A503" s="96" t="s">
        <v>506</v>
      </c>
      <c r="G503" s="96" t="s">
        <v>504</v>
      </c>
      <c r="I503" s="80">
        <f>I502</f>
        <v>19400</v>
      </c>
    </row>
    <row r="504" spans="1:21" s="96" customFormat="1" x14ac:dyDescent="0.2">
      <c r="A504" s="96" t="s">
        <v>167</v>
      </c>
      <c r="C504" s="80">
        <f>E480</f>
        <v>1437950</v>
      </c>
      <c r="D504" s="96" t="s">
        <v>2471</v>
      </c>
    </row>
    <row r="505" spans="1:21" s="96" customFormat="1" x14ac:dyDescent="0.2">
      <c r="A505" s="96" t="s">
        <v>507</v>
      </c>
      <c r="C505" s="80">
        <f>-C501</f>
        <v>-51238</v>
      </c>
      <c r="D505" s="96" t="s">
        <v>2472</v>
      </c>
    </row>
    <row r="506" spans="1:21" s="96" customFormat="1" x14ac:dyDescent="0.2">
      <c r="A506" s="192" t="s">
        <v>508</v>
      </c>
      <c r="B506" s="192"/>
      <c r="C506" s="267">
        <f>C504+C505</f>
        <v>1386712</v>
      </c>
    </row>
    <row r="509" spans="1:21" customFormat="1" x14ac:dyDescent="0.2">
      <c r="A509" s="6" t="s">
        <v>2474</v>
      </c>
      <c r="B509" s="6"/>
      <c r="C509" s="6"/>
      <c r="D509" s="6"/>
      <c r="E509" s="6"/>
      <c r="F509" s="6"/>
      <c r="G509" s="6"/>
      <c r="I509" s="1"/>
      <c r="J509" s="1"/>
      <c r="K509" s="1"/>
      <c r="M509" s="1"/>
      <c r="N509" s="1"/>
    </row>
    <row r="510" spans="1:21" customFormat="1" ht="17" thickBot="1" x14ac:dyDescent="0.25">
      <c r="I510" s="1"/>
      <c r="J510" s="1"/>
      <c r="K510" s="1"/>
      <c r="M510" s="1"/>
      <c r="N510" s="1"/>
    </row>
    <row r="511" spans="1:21" customFormat="1" x14ac:dyDescent="0.2">
      <c r="I511" s="1"/>
      <c r="J511" s="1"/>
      <c r="K511" s="1"/>
      <c r="M511" s="280" t="s">
        <v>534</v>
      </c>
      <c r="N511" s="203"/>
      <c r="O511" s="204"/>
      <c r="P511" s="1"/>
      <c r="R511" s="1"/>
      <c r="S511" s="1"/>
      <c r="T511" s="1"/>
      <c r="U511" s="1"/>
    </row>
    <row r="512" spans="1:21" customFormat="1" ht="17" thickBot="1" x14ac:dyDescent="0.25">
      <c r="I512" s="1"/>
      <c r="J512" s="1"/>
      <c r="K512" s="1"/>
      <c r="M512" s="205"/>
      <c r="N512" s="96"/>
      <c r="O512" s="206"/>
      <c r="P512" s="3" t="s">
        <v>591</v>
      </c>
      <c r="Q512" s="1"/>
      <c r="R512" s="1"/>
      <c r="S512" s="1"/>
      <c r="T512" s="1"/>
      <c r="U512" s="1"/>
    </row>
    <row r="513" spans="9:24" customFormat="1" x14ac:dyDescent="0.2">
      <c r="I513" s="50" t="s">
        <v>532</v>
      </c>
      <c r="J513" s="51">
        <v>43465</v>
      </c>
      <c r="K513" s="51">
        <v>43830</v>
      </c>
      <c r="M513" s="205" t="s">
        <v>587</v>
      </c>
      <c r="N513" s="96"/>
      <c r="O513" s="271">
        <v>700000</v>
      </c>
      <c r="P513" s="202"/>
      <c r="Q513" s="203"/>
      <c r="R513" s="401">
        <v>43465</v>
      </c>
      <c r="S513" s="401"/>
      <c r="T513" s="401">
        <v>43830</v>
      </c>
      <c r="U513" s="402"/>
    </row>
    <row r="514" spans="9:24" customFormat="1" x14ac:dyDescent="0.2">
      <c r="I514" s="216" t="s">
        <v>311</v>
      </c>
      <c r="J514" s="215">
        <f>100000-100000/20*7</f>
        <v>65000</v>
      </c>
      <c r="K514" s="215">
        <f>65000-65000/4</f>
        <v>48750</v>
      </c>
      <c r="M514" s="205"/>
      <c r="N514" s="96"/>
      <c r="O514" s="271"/>
      <c r="P514" s="205"/>
      <c r="Q514" s="96"/>
      <c r="R514" s="272" t="s">
        <v>592</v>
      </c>
      <c r="S514" s="272" t="s">
        <v>595</v>
      </c>
      <c r="T514" s="272" t="s">
        <v>592</v>
      </c>
      <c r="U514" s="274" t="s">
        <v>595</v>
      </c>
    </row>
    <row r="515" spans="9:24" customFormat="1" ht="17" thickBot="1" x14ac:dyDescent="0.25">
      <c r="I515" s="216" t="s">
        <v>56</v>
      </c>
      <c r="J515" s="215">
        <f>100000-100000/20*7</f>
        <v>65000</v>
      </c>
      <c r="K515" s="215">
        <f>100000-100000/20*8</f>
        <v>60000</v>
      </c>
      <c r="M515" s="205" t="s">
        <v>467</v>
      </c>
      <c r="N515" s="96"/>
      <c r="O515" s="271"/>
      <c r="P515" s="205"/>
      <c r="Q515" s="96"/>
      <c r="R515" s="273" t="s">
        <v>593</v>
      </c>
      <c r="S515" s="273" t="s">
        <v>593</v>
      </c>
      <c r="T515" s="273" t="s">
        <v>593</v>
      </c>
      <c r="U515" s="275" t="s">
        <v>593</v>
      </c>
    </row>
    <row r="516" spans="9:24" customFormat="1" ht="34" x14ac:dyDescent="0.2">
      <c r="I516" s="268" t="s">
        <v>533</v>
      </c>
      <c r="J516" s="215">
        <f>J514-J515</f>
        <v>0</v>
      </c>
      <c r="K516" s="215">
        <f>K514-K515</f>
        <v>-11250</v>
      </c>
      <c r="M516" s="205" t="s">
        <v>535</v>
      </c>
      <c r="N516" s="96"/>
      <c r="O516" s="271">
        <f>J516-K516</f>
        <v>11250</v>
      </c>
      <c r="P516" s="205"/>
      <c r="Q516" s="96"/>
      <c r="R516" s="165" t="s">
        <v>594</v>
      </c>
      <c r="S516" s="165" t="s">
        <v>594</v>
      </c>
      <c r="T516" s="165" t="s">
        <v>594</v>
      </c>
      <c r="U516" s="276" t="s">
        <v>594</v>
      </c>
    </row>
    <row r="517" spans="9:24" customFormat="1" x14ac:dyDescent="0.2">
      <c r="I517" s="216" t="s">
        <v>90</v>
      </c>
      <c r="J517" s="269">
        <v>0.35</v>
      </c>
      <c r="K517" s="269">
        <v>0.39</v>
      </c>
      <c r="M517" s="205" t="s">
        <v>566</v>
      </c>
      <c r="N517" s="96"/>
      <c r="O517" s="271">
        <v>8000</v>
      </c>
      <c r="P517" s="205" t="s">
        <v>596</v>
      </c>
      <c r="Q517" s="96"/>
      <c r="R517" s="173">
        <f>J518</f>
        <v>0</v>
      </c>
      <c r="S517" s="173"/>
      <c r="T517" s="173">
        <f>K518</f>
        <v>4387.5</v>
      </c>
      <c r="U517" s="277"/>
    </row>
    <row r="518" spans="9:24" customFormat="1" x14ac:dyDescent="0.2">
      <c r="I518" s="216" t="s">
        <v>360</v>
      </c>
      <c r="J518" s="215">
        <f>J516*J517</f>
        <v>0</v>
      </c>
      <c r="K518" s="270">
        <f>K516*-K517</f>
        <v>4387.5</v>
      </c>
      <c r="M518" s="205" t="s">
        <v>582</v>
      </c>
      <c r="N518" s="96"/>
      <c r="O518" s="271">
        <f>20%*30000</f>
        <v>6000</v>
      </c>
      <c r="P518" s="205" t="s">
        <v>597</v>
      </c>
      <c r="Q518" s="96"/>
      <c r="R518" s="173"/>
      <c r="S518" s="173">
        <f>J526</f>
        <v>2100</v>
      </c>
      <c r="T518" s="173"/>
      <c r="U518" s="277">
        <f>K526</f>
        <v>2925</v>
      </c>
    </row>
    <row r="519" spans="9:24" customFormat="1" x14ac:dyDescent="0.2">
      <c r="I519" s="1"/>
      <c r="J519" s="1"/>
      <c r="K519" s="1"/>
      <c r="M519" s="205" t="s">
        <v>583</v>
      </c>
      <c r="N519" s="96"/>
      <c r="O519" s="271">
        <f>K577</f>
        <v>10800</v>
      </c>
      <c r="P519" s="205" t="s">
        <v>598</v>
      </c>
      <c r="Q519" s="96"/>
      <c r="R519" s="173"/>
      <c r="S519" s="173">
        <f>J535</f>
        <v>58799.999999999993</v>
      </c>
      <c r="T519" s="173"/>
      <c r="U519" s="277">
        <f>K535</f>
        <v>76050</v>
      </c>
    </row>
    <row r="520" spans="9:24" customFormat="1" x14ac:dyDescent="0.2">
      <c r="I520" s="96" t="s">
        <v>540</v>
      </c>
      <c r="J520" s="96"/>
      <c r="K520" s="96"/>
      <c r="M520" s="205" t="s">
        <v>585</v>
      </c>
      <c r="N520" s="96"/>
      <c r="O520" s="271">
        <v>50000</v>
      </c>
      <c r="P520" s="205" t="s">
        <v>599</v>
      </c>
      <c r="Q520" s="96"/>
      <c r="R520" s="173"/>
      <c r="S520" s="173">
        <f>J544</f>
        <v>7000</v>
      </c>
      <c r="T520" s="173"/>
      <c r="U520" s="277">
        <f>K544</f>
        <v>23000</v>
      </c>
    </row>
    <row r="521" spans="9:24" customFormat="1" x14ac:dyDescent="0.2">
      <c r="I521" s="96"/>
      <c r="J521" s="278">
        <v>43465</v>
      </c>
      <c r="K521" s="278">
        <v>43830</v>
      </c>
      <c r="M521" s="205" t="s">
        <v>586</v>
      </c>
      <c r="N521" s="96"/>
      <c r="O521" s="271">
        <v>35000</v>
      </c>
      <c r="P521" s="205" t="s">
        <v>564</v>
      </c>
      <c r="Q521" s="96"/>
      <c r="R521" s="173">
        <f>J554</f>
        <v>14000</v>
      </c>
      <c r="S521" s="173"/>
      <c r="T521" s="173">
        <f>K554</f>
        <v>17760</v>
      </c>
      <c r="U521" s="277"/>
    </row>
    <row r="522" spans="9:24" customFormat="1" ht="17" thickBot="1" x14ac:dyDescent="0.25">
      <c r="I522" s="216" t="s">
        <v>311</v>
      </c>
      <c r="J522" s="216">
        <f>600000-600000*(1-25%)/50*4</f>
        <v>564000</v>
      </c>
      <c r="K522" s="216">
        <f>600000-600000*(1-25%)/50*5</f>
        <v>555000</v>
      </c>
      <c r="M522" s="205"/>
      <c r="N522" s="96"/>
      <c r="O522" s="271"/>
      <c r="P522" s="205" t="s">
        <v>567</v>
      </c>
      <c r="Q522" s="96"/>
      <c r="R522" s="173"/>
      <c r="S522" s="173">
        <v>0</v>
      </c>
      <c r="T522" s="173"/>
      <c r="U522" s="277">
        <f>K562</f>
        <v>37000</v>
      </c>
      <c r="V522" s="162"/>
      <c r="W522" s="162"/>
      <c r="X522" s="162"/>
    </row>
    <row r="523" spans="9:24" customFormat="1" ht="17" thickBot="1" x14ac:dyDescent="0.25">
      <c r="I523" s="216" t="s">
        <v>56</v>
      </c>
      <c r="J523" s="216">
        <f>600000-600000*(1-30%)/40*4</f>
        <v>558000</v>
      </c>
      <c r="K523" s="216">
        <f>600000-600000*(1-30%)/40*5</f>
        <v>547500</v>
      </c>
      <c r="M523" s="205" t="s">
        <v>468</v>
      </c>
      <c r="N523" s="96"/>
      <c r="O523" s="271"/>
      <c r="P523" s="284" t="s">
        <v>198</v>
      </c>
      <c r="Q523" s="285"/>
      <c r="R523" s="286">
        <f>SUM(R517:R522)</f>
        <v>14000</v>
      </c>
      <c r="S523" s="286">
        <f>SUM(S517:S522)</f>
        <v>67900</v>
      </c>
      <c r="T523" s="286">
        <f>SUM(T517:T522)</f>
        <v>22147.5</v>
      </c>
      <c r="U523" s="287">
        <f>SUM(U517:U522)</f>
        <v>138975</v>
      </c>
    </row>
    <row r="524" spans="9:24" customFormat="1" ht="34" x14ac:dyDescent="0.2">
      <c r="I524" s="268" t="s">
        <v>541</v>
      </c>
      <c r="J524" s="216">
        <f>J522-J523</f>
        <v>6000</v>
      </c>
      <c r="K524" s="216">
        <f>K522-K523</f>
        <v>7500</v>
      </c>
      <c r="M524" s="205" t="s">
        <v>544</v>
      </c>
      <c r="N524" s="96"/>
      <c r="O524" s="271">
        <f>J524-K524-(J532-K532)</f>
        <v>-8500</v>
      </c>
      <c r="P524" s="280" t="s">
        <v>603</v>
      </c>
      <c r="Q524" s="288"/>
      <c r="R524" s="288"/>
      <c r="S524" s="288"/>
      <c r="T524" s="288"/>
      <c r="U524" s="289"/>
    </row>
    <row r="525" spans="9:24" customFormat="1" x14ac:dyDescent="0.2">
      <c r="I525" s="216" t="s">
        <v>90</v>
      </c>
      <c r="J525" s="269">
        <v>0.35</v>
      </c>
      <c r="K525" s="269">
        <v>0.39</v>
      </c>
      <c r="M525" s="205" t="s">
        <v>545</v>
      </c>
      <c r="N525" s="96"/>
      <c r="O525" s="271">
        <f>-4*5000</f>
        <v>-20000</v>
      </c>
      <c r="P525" s="290"/>
      <c r="Q525" s="96" t="s">
        <v>500</v>
      </c>
      <c r="R525" s="96"/>
      <c r="S525" s="157">
        <f>T523-R523</f>
        <v>8147.5</v>
      </c>
      <c r="T525" s="162"/>
      <c r="U525" s="291"/>
    </row>
    <row r="526" spans="9:24" customFormat="1" ht="34" x14ac:dyDescent="0.2">
      <c r="I526" s="268" t="s">
        <v>542</v>
      </c>
      <c r="J526" s="216">
        <f>J524*J525</f>
        <v>2100</v>
      </c>
      <c r="K526" s="216">
        <f>K524*K525</f>
        <v>2925</v>
      </c>
      <c r="M526" s="205" t="s">
        <v>559</v>
      </c>
      <c r="N526" s="96"/>
      <c r="O526" s="271">
        <v>-40000</v>
      </c>
      <c r="P526" s="290"/>
      <c r="Q526" s="96" t="s">
        <v>601</v>
      </c>
      <c r="R526" s="96"/>
      <c r="S526" s="157">
        <f>U523-S523</f>
        <v>71075</v>
      </c>
      <c r="T526" s="162"/>
      <c r="U526" s="291"/>
    </row>
    <row r="527" spans="9:24" customFormat="1" ht="17" thickBot="1" x14ac:dyDescent="0.25">
      <c r="I527" s="1"/>
      <c r="J527" s="1"/>
      <c r="K527" s="1"/>
      <c r="M527" s="205" t="s">
        <v>568</v>
      </c>
      <c r="N527" s="96"/>
      <c r="O527" s="271">
        <v>-100000</v>
      </c>
      <c r="P527" s="292"/>
      <c r="Q527" s="208" t="s">
        <v>602</v>
      </c>
      <c r="R527" s="208"/>
      <c r="S527" s="293">
        <f>S526-S525</f>
        <v>62927.5</v>
      </c>
      <c r="T527" s="294"/>
      <c r="U527" s="295"/>
    </row>
    <row r="528" spans="9:24" customFormat="1" ht="51" customHeight="1" x14ac:dyDescent="0.2">
      <c r="I528" s="403" t="s">
        <v>543</v>
      </c>
      <c r="J528" s="403"/>
      <c r="K528" s="403"/>
      <c r="M528" s="205" t="s">
        <v>584</v>
      </c>
      <c r="N528" s="96"/>
      <c r="O528" s="271">
        <v>-140000</v>
      </c>
      <c r="P528" s="280" t="s">
        <v>604</v>
      </c>
      <c r="Q528" s="203"/>
      <c r="R528" s="203"/>
      <c r="S528" s="203"/>
      <c r="T528" s="203"/>
      <c r="U528" s="289"/>
    </row>
    <row r="529" spans="9:25" customFormat="1" x14ac:dyDescent="0.2">
      <c r="I529" s="1"/>
      <c r="J529" s="1"/>
      <c r="K529" s="1"/>
      <c r="M529" s="205"/>
      <c r="N529" s="96"/>
      <c r="O529" s="271"/>
      <c r="P529" s="205"/>
      <c r="Q529" s="96"/>
      <c r="R529" s="96"/>
      <c r="S529" s="96"/>
      <c r="T529" s="96"/>
      <c r="U529" s="291"/>
    </row>
    <row r="530" spans="9:25" customFormat="1" x14ac:dyDescent="0.2">
      <c r="I530" s="96"/>
      <c r="J530" s="278">
        <v>43465</v>
      </c>
      <c r="K530" s="278">
        <v>43830</v>
      </c>
      <c r="M530" s="205" t="s">
        <v>588</v>
      </c>
      <c r="N530" s="96"/>
      <c r="O530" s="281">
        <f>SUM(O513:O528)</f>
        <v>512550</v>
      </c>
      <c r="P530" s="205"/>
      <c r="Q530" s="96" t="s">
        <v>605</v>
      </c>
      <c r="R530" s="96"/>
      <c r="S530" s="80">
        <f>O535</f>
        <v>187392.5</v>
      </c>
      <c r="T530" s="96"/>
      <c r="U530" s="291"/>
    </row>
    <row r="531" spans="9:25" customFormat="1" x14ac:dyDescent="0.2">
      <c r="I531" s="216" t="s">
        <v>311</v>
      </c>
      <c r="J531" s="216">
        <f>135000*4</f>
        <v>540000</v>
      </c>
      <c r="K531" s="216">
        <f>140000*4</f>
        <v>560000</v>
      </c>
      <c r="M531" s="205" t="s">
        <v>359</v>
      </c>
      <c r="N531" s="96"/>
      <c r="O531" s="282">
        <v>0.35</v>
      </c>
      <c r="P531" s="205"/>
      <c r="Q531" s="96" t="s">
        <v>606</v>
      </c>
      <c r="R531" s="96"/>
      <c r="S531" s="157">
        <f>S527</f>
        <v>62927.5</v>
      </c>
      <c r="T531" s="96"/>
      <c r="U531" s="291"/>
    </row>
    <row r="532" spans="9:25" customFormat="1" ht="17" thickBot="1" x14ac:dyDescent="0.25">
      <c r="I532" s="216" t="s">
        <v>56</v>
      </c>
      <c r="J532" s="216">
        <f>400000-400000*(1-30%)/40*4</f>
        <v>372000</v>
      </c>
      <c r="K532" s="216">
        <f>400000-400000*(1-30%)/40*5</f>
        <v>365000</v>
      </c>
      <c r="M532" s="205" t="s">
        <v>589</v>
      </c>
      <c r="N532" s="96"/>
      <c r="O532" s="281">
        <f>O530*O531</f>
        <v>179392.5</v>
      </c>
      <c r="P532" s="207"/>
      <c r="Q532" s="208" t="s">
        <v>607</v>
      </c>
      <c r="R532" s="208"/>
      <c r="S532" s="296">
        <f>S530+S531</f>
        <v>250320</v>
      </c>
      <c r="T532" s="208"/>
      <c r="U532" s="295"/>
    </row>
    <row r="533" spans="9:25" customFormat="1" ht="34" x14ac:dyDescent="0.2">
      <c r="I533" s="268" t="s">
        <v>541</v>
      </c>
      <c r="J533" s="216">
        <f>J531-J532</f>
        <v>168000</v>
      </c>
      <c r="K533" s="216">
        <f>K531-K532</f>
        <v>195000</v>
      </c>
      <c r="M533" s="205" t="s">
        <v>569</v>
      </c>
      <c r="N533" s="96"/>
      <c r="O533" s="271">
        <f>140000*20%</f>
        <v>28000</v>
      </c>
      <c r="P533" s="1"/>
      <c r="Q533" s="1"/>
      <c r="R533" s="1"/>
      <c r="S533" s="1"/>
      <c r="T533" s="1"/>
    </row>
    <row r="534" spans="9:25" customFormat="1" x14ac:dyDescent="0.2">
      <c r="I534" s="216" t="s">
        <v>90</v>
      </c>
      <c r="J534" s="269">
        <v>0.35</v>
      </c>
      <c r="K534" s="269">
        <v>0.39</v>
      </c>
      <c r="M534" s="205" t="s">
        <v>471</v>
      </c>
      <c r="N534" s="96"/>
      <c r="O534" s="271">
        <f>-40%*O520</f>
        <v>-20000</v>
      </c>
    </row>
    <row r="535" spans="9:25" customFormat="1" ht="35" thickBot="1" x14ac:dyDescent="0.25">
      <c r="I535" s="268" t="s">
        <v>542</v>
      </c>
      <c r="J535" s="216">
        <f>J533*J534</f>
        <v>58799.999999999993</v>
      </c>
      <c r="K535" s="216">
        <f>K533*K534</f>
        <v>76050</v>
      </c>
      <c r="M535" s="207" t="s">
        <v>590</v>
      </c>
      <c r="N535" s="208"/>
      <c r="O535" s="283">
        <f>SUM(O532:O534)</f>
        <v>187392.5</v>
      </c>
    </row>
    <row r="536" spans="9:25" customFormat="1" x14ac:dyDescent="0.2">
      <c r="I536" s="1"/>
      <c r="J536" s="1"/>
      <c r="K536" s="1"/>
      <c r="M536" s="1"/>
      <c r="N536" s="1"/>
    </row>
    <row r="537" spans="9:25" customFormat="1" x14ac:dyDescent="0.2">
      <c r="I537" s="1"/>
      <c r="J537" s="1"/>
      <c r="K537" s="1"/>
      <c r="M537" s="1"/>
      <c r="N537" s="1"/>
    </row>
    <row r="538" spans="9:25" customFormat="1" x14ac:dyDescent="0.2">
      <c r="I538" s="1" t="s">
        <v>553</v>
      </c>
      <c r="J538" s="1"/>
      <c r="K538" s="1"/>
      <c r="M538" s="1"/>
      <c r="N538" s="1" t="s">
        <v>554</v>
      </c>
    </row>
    <row r="539" spans="9:25" customFormat="1" x14ac:dyDescent="0.2">
      <c r="I539" s="96"/>
      <c r="J539" s="278">
        <v>43465</v>
      </c>
      <c r="K539" s="278">
        <v>43830</v>
      </c>
      <c r="M539" s="1"/>
      <c r="N539" s="1" t="s">
        <v>555</v>
      </c>
      <c r="T539" t="s">
        <v>546</v>
      </c>
    </row>
    <row r="540" spans="9:25" customFormat="1" x14ac:dyDescent="0.2">
      <c r="I540" s="96" t="s">
        <v>311</v>
      </c>
      <c r="J540" s="96">
        <v>20000</v>
      </c>
      <c r="K540" s="96">
        <f>J540+40000</f>
        <v>60000</v>
      </c>
      <c r="M540" s="1"/>
      <c r="N540" s="1"/>
      <c r="P540">
        <v>2020</v>
      </c>
      <c r="Q540">
        <v>2021</v>
      </c>
      <c r="R540">
        <v>2022</v>
      </c>
      <c r="T540" t="s">
        <v>547</v>
      </c>
      <c r="Y540">
        <f>600000*(1-25%)/50</f>
        <v>9000</v>
      </c>
    </row>
    <row r="541" spans="9:25" customFormat="1" x14ac:dyDescent="0.2">
      <c r="I541" s="96" t="s">
        <v>129</v>
      </c>
      <c r="J541" s="96">
        <v>0</v>
      </c>
      <c r="K541" s="96">
        <v>0</v>
      </c>
      <c r="M541" s="1"/>
      <c r="N541" s="1" t="s">
        <v>556</v>
      </c>
      <c r="P541">
        <f>K542/3</f>
        <v>20000</v>
      </c>
      <c r="Q541">
        <f>P541</f>
        <v>20000</v>
      </c>
      <c r="R541">
        <f>Q541</f>
        <v>20000</v>
      </c>
      <c r="T541" t="s">
        <v>548</v>
      </c>
      <c r="Y541">
        <f>1000000*(1-30%)/40</f>
        <v>17500</v>
      </c>
    </row>
    <row r="542" spans="9:25" customFormat="1" ht="34" x14ac:dyDescent="0.2">
      <c r="I542" s="279" t="s">
        <v>541</v>
      </c>
      <c r="J542" s="96">
        <f>J540-J541</f>
        <v>20000</v>
      </c>
      <c r="K542" s="96">
        <f>K540-K541</f>
        <v>60000</v>
      </c>
      <c r="M542" s="1"/>
      <c r="N542" s="1" t="s">
        <v>557</v>
      </c>
      <c r="P542">
        <v>0</v>
      </c>
      <c r="Q542">
        <v>0</v>
      </c>
      <c r="R542">
        <v>0</v>
      </c>
      <c r="T542" t="s">
        <v>549</v>
      </c>
      <c r="Y542">
        <f>Y541-Y540</f>
        <v>8500</v>
      </c>
    </row>
    <row r="543" spans="9:25" customFormat="1" x14ac:dyDescent="0.2">
      <c r="I543" s="96" t="s">
        <v>90</v>
      </c>
      <c r="J543" s="82">
        <v>0.35</v>
      </c>
      <c r="K543" s="96" t="s">
        <v>558</v>
      </c>
      <c r="M543" s="1"/>
      <c r="N543" s="1" t="s">
        <v>90</v>
      </c>
      <c r="P543" s="64">
        <v>0.37</v>
      </c>
      <c r="Q543" s="64">
        <v>0.39</v>
      </c>
      <c r="R543" s="64">
        <v>0.39</v>
      </c>
    </row>
    <row r="544" spans="9:25" customFormat="1" ht="34" x14ac:dyDescent="0.2">
      <c r="I544" s="279" t="s">
        <v>542</v>
      </c>
      <c r="J544" s="96">
        <f>J542*J543</f>
        <v>7000</v>
      </c>
      <c r="K544" s="96">
        <f>P541*P543+Q541*Q543+R541*R543</f>
        <v>23000</v>
      </c>
      <c r="M544" s="1"/>
      <c r="N544" s="1"/>
    </row>
    <row r="545" spans="9:25" customFormat="1" x14ac:dyDescent="0.2">
      <c r="I545" s="1"/>
      <c r="J545" s="1"/>
      <c r="K545" s="1"/>
      <c r="M545" s="1"/>
      <c r="N545" s="1"/>
      <c r="P545">
        <v>2019</v>
      </c>
      <c r="T545" t="s">
        <v>550</v>
      </c>
      <c r="Y545">
        <f>4*(140000-135000)</f>
        <v>20000</v>
      </c>
    </row>
    <row r="546" spans="9:25" customFormat="1" x14ac:dyDescent="0.2">
      <c r="I546" s="1"/>
      <c r="J546" s="1"/>
      <c r="K546" s="1"/>
      <c r="M546" s="1"/>
      <c r="N546" s="1" t="s">
        <v>560</v>
      </c>
      <c r="P546">
        <v>40000</v>
      </c>
      <c r="Q546" t="s">
        <v>562</v>
      </c>
      <c r="T546" t="s">
        <v>551</v>
      </c>
      <c r="Y546">
        <v>0</v>
      </c>
    </row>
    <row r="547" spans="9:25" customFormat="1" x14ac:dyDescent="0.2">
      <c r="I547" s="1"/>
      <c r="J547" s="1"/>
      <c r="K547" s="1"/>
      <c r="M547" s="1"/>
      <c r="N547" s="1" t="s">
        <v>561</v>
      </c>
      <c r="P547">
        <f>P546</f>
        <v>40000</v>
      </c>
      <c r="Q547" t="s">
        <v>563</v>
      </c>
      <c r="T547" t="s">
        <v>552</v>
      </c>
      <c r="Y547">
        <f>Y545</f>
        <v>20000</v>
      </c>
    </row>
    <row r="548" spans="9:25" customFormat="1" x14ac:dyDescent="0.2">
      <c r="I548" s="1" t="s">
        <v>564</v>
      </c>
      <c r="J548" s="1"/>
      <c r="K548" s="1"/>
      <c r="M548" s="1"/>
      <c r="N548" s="1"/>
    </row>
    <row r="549" spans="9:25" customFormat="1" x14ac:dyDescent="0.2">
      <c r="I549" s="96"/>
      <c r="J549" s="278">
        <v>43465</v>
      </c>
      <c r="K549" s="278">
        <v>43830</v>
      </c>
      <c r="M549" s="1"/>
      <c r="N549" s="1"/>
    </row>
    <row r="550" spans="9:25" customFormat="1" x14ac:dyDescent="0.2">
      <c r="I550" s="96" t="s">
        <v>311</v>
      </c>
      <c r="J550" s="96">
        <f>8%*500000</f>
        <v>40000</v>
      </c>
      <c r="K550" s="96">
        <f>8%*600000</f>
        <v>48000</v>
      </c>
      <c r="M550" s="1"/>
      <c r="N550" s="1"/>
    </row>
    <row r="551" spans="9:25" customFormat="1" x14ac:dyDescent="0.2">
      <c r="I551" s="96" t="s">
        <v>129</v>
      </c>
      <c r="J551" s="96">
        <v>0</v>
      </c>
      <c r="K551" s="96">
        <v>0</v>
      </c>
      <c r="M551" s="1"/>
      <c r="N551" s="1"/>
    </row>
    <row r="552" spans="9:25" customFormat="1" ht="34" x14ac:dyDescent="0.2">
      <c r="I552" s="279" t="s">
        <v>533</v>
      </c>
      <c r="J552" s="96">
        <f>J550-J551</f>
        <v>40000</v>
      </c>
      <c r="K552" s="96">
        <f>K550-K551</f>
        <v>48000</v>
      </c>
      <c r="M552" s="1"/>
      <c r="N552" s="1"/>
    </row>
    <row r="553" spans="9:25" customFormat="1" x14ac:dyDescent="0.2">
      <c r="I553" s="96" t="s">
        <v>90</v>
      </c>
      <c r="J553" s="82">
        <v>0.35</v>
      </c>
      <c r="K553" s="82">
        <v>0.37</v>
      </c>
      <c r="M553" s="1"/>
      <c r="N553" s="1"/>
    </row>
    <row r="554" spans="9:25" customFormat="1" ht="34" x14ac:dyDescent="0.2">
      <c r="I554" s="279" t="s">
        <v>565</v>
      </c>
      <c r="J554" s="96">
        <f>J552*J553</f>
        <v>14000</v>
      </c>
      <c r="K554" s="96">
        <f>K552*K553</f>
        <v>17760</v>
      </c>
      <c r="M554" s="1"/>
      <c r="N554" s="1"/>
    </row>
    <row r="555" spans="9:25" customFormat="1" x14ac:dyDescent="0.2">
      <c r="I555" s="1"/>
      <c r="J555" s="1"/>
      <c r="K555" s="1"/>
      <c r="M555" s="1"/>
      <c r="N555" s="1"/>
    </row>
    <row r="556" spans="9:25" customFormat="1" ht="34" customHeight="1" x14ac:dyDescent="0.2">
      <c r="I556" s="403" t="s">
        <v>567</v>
      </c>
      <c r="J556" s="403"/>
      <c r="K556" s="1"/>
      <c r="M556" s="1"/>
      <c r="N556" s="1"/>
    </row>
    <row r="557" spans="9:25" customFormat="1" x14ac:dyDescent="0.2">
      <c r="I557" s="96"/>
      <c r="J557" s="278">
        <v>43465</v>
      </c>
      <c r="K557" s="278">
        <v>43830</v>
      </c>
      <c r="M557" s="1"/>
      <c r="N557" s="1"/>
    </row>
    <row r="558" spans="9:25" customFormat="1" x14ac:dyDescent="0.2">
      <c r="I558" s="96" t="s">
        <v>311</v>
      </c>
      <c r="J558" s="96">
        <v>0</v>
      </c>
      <c r="K558" s="96">
        <v>100000</v>
      </c>
      <c r="M558" s="1"/>
      <c r="N558" s="1"/>
    </row>
    <row r="559" spans="9:25" customFormat="1" x14ac:dyDescent="0.2">
      <c r="I559" s="96" t="s">
        <v>129</v>
      </c>
      <c r="J559" s="96">
        <v>0</v>
      </c>
      <c r="K559" s="96">
        <v>0</v>
      </c>
      <c r="M559" s="1"/>
      <c r="N559" s="1"/>
    </row>
    <row r="560" spans="9:25" customFormat="1" ht="34" x14ac:dyDescent="0.2">
      <c r="I560" s="279" t="s">
        <v>541</v>
      </c>
      <c r="J560" s="96">
        <v>0</v>
      </c>
      <c r="K560" s="96">
        <f>K558-K559</f>
        <v>100000</v>
      </c>
      <c r="M560" s="1"/>
      <c r="N560" s="1"/>
    </row>
    <row r="561" spans="9:14" customFormat="1" x14ac:dyDescent="0.2">
      <c r="I561" s="96" t="s">
        <v>90</v>
      </c>
      <c r="J561" s="82">
        <v>0</v>
      </c>
      <c r="K561" s="82">
        <v>0.37</v>
      </c>
      <c r="M561" s="1"/>
      <c r="N561" s="1"/>
    </row>
    <row r="562" spans="9:14" customFormat="1" ht="34" x14ac:dyDescent="0.2">
      <c r="I562" s="279" t="s">
        <v>600</v>
      </c>
      <c r="J562" s="96">
        <v>0</v>
      </c>
      <c r="K562" s="96">
        <f>K560*K561</f>
        <v>37000</v>
      </c>
      <c r="M562" s="1"/>
      <c r="N562" s="1"/>
    </row>
    <row r="563" spans="9:14" customFormat="1" x14ac:dyDescent="0.2">
      <c r="I563" s="1"/>
      <c r="J563" s="1"/>
      <c r="K563" s="1"/>
      <c r="M563" s="1"/>
      <c r="N563" s="1"/>
    </row>
    <row r="564" spans="9:14" customFormat="1" x14ac:dyDescent="0.2">
      <c r="I564" s="1"/>
      <c r="J564" s="1"/>
      <c r="K564" s="1"/>
      <c r="M564" s="1"/>
      <c r="N564" s="1"/>
    </row>
    <row r="565" spans="9:14" customFormat="1" x14ac:dyDescent="0.2">
      <c r="I565" s="1" t="s">
        <v>570</v>
      </c>
      <c r="J565" s="1"/>
      <c r="K565" s="1"/>
      <c r="M565" s="1"/>
      <c r="N565" s="1"/>
    </row>
    <row r="566" spans="9:14" customFormat="1" x14ac:dyDescent="0.2">
      <c r="I566" s="1"/>
      <c r="J566" s="1"/>
      <c r="K566" s="1"/>
      <c r="M566" s="1"/>
      <c r="N566" s="1"/>
    </row>
    <row r="567" spans="9:14" customFormat="1" x14ac:dyDescent="0.2">
      <c r="I567" s="1" t="s">
        <v>571</v>
      </c>
      <c r="J567" s="1"/>
      <c r="K567" s="1">
        <v>15000</v>
      </c>
      <c r="M567" s="1"/>
      <c r="N567" s="1"/>
    </row>
    <row r="568" spans="9:14" customFormat="1" x14ac:dyDescent="0.2">
      <c r="I568" s="1"/>
      <c r="J568" s="1"/>
      <c r="K568" s="1"/>
      <c r="M568" s="1"/>
      <c r="N568" s="1"/>
    </row>
    <row r="569" spans="9:14" customFormat="1" x14ac:dyDescent="0.2">
      <c r="I569" s="1" t="s">
        <v>572</v>
      </c>
      <c r="J569" s="1"/>
      <c r="K569" s="1"/>
      <c r="M569" s="1"/>
      <c r="N569" s="1"/>
    </row>
    <row r="570" spans="9:14" customFormat="1" x14ac:dyDescent="0.2">
      <c r="I570" s="1">
        <v>14</v>
      </c>
      <c r="J570" s="1" t="s">
        <v>573</v>
      </c>
      <c r="K570" s="1"/>
      <c r="L570" t="s">
        <v>574</v>
      </c>
      <c r="M570" s="1"/>
      <c r="N570" s="1" t="s">
        <v>575</v>
      </c>
    </row>
    <row r="571" spans="9:14" customFormat="1" x14ac:dyDescent="0.2">
      <c r="I571" s="1">
        <v>14</v>
      </c>
      <c r="J571" s="1" t="s">
        <v>573</v>
      </c>
      <c r="K571" s="1"/>
      <c r="L571" t="s">
        <v>576</v>
      </c>
      <c r="M571" s="1"/>
      <c r="N571" s="1" t="s">
        <v>577</v>
      </c>
    </row>
    <row r="572" spans="9:14" customFormat="1" x14ac:dyDescent="0.2">
      <c r="I572" s="1"/>
      <c r="J572" s="1"/>
      <c r="K572" s="1"/>
      <c r="M572" s="1"/>
      <c r="N572" s="1"/>
    </row>
    <row r="573" spans="9:14" customFormat="1" x14ac:dyDescent="0.2">
      <c r="I573" s="1" t="s">
        <v>578</v>
      </c>
      <c r="J573" s="1"/>
      <c r="K573" s="1"/>
      <c r="M573" s="1"/>
      <c r="N573" s="1"/>
    </row>
    <row r="574" spans="9:14" customFormat="1" x14ac:dyDescent="0.2">
      <c r="I574" s="1"/>
      <c r="J574" s="1"/>
      <c r="K574" s="1">
        <f>14*200+14*100</f>
        <v>4200</v>
      </c>
      <c r="M574" s="1" t="s">
        <v>579</v>
      </c>
      <c r="N574" s="1"/>
    </row>
    <row r="575" spans="9:14" customFormat="1" x14ac:dyDescent="0.2">
      <c r="I575" s="1"/>
      <c r="J575" s="1"/>
      <c r="K575" s="1"/>
      <c r="M575" s="1"/>
      <c r="N575" s="1"/>
    </row>
    <row r="576" spans="9:14" customFormat="1" x14ac:dyDescent="0.2">
      <c r="I576" s="1" t="s">
        <v>580</v>
      </c>
      <c r="J576" s="1"/>
      <c r="K576" s="1"/>
      <c r="M576" s="1"/>
      <c r="N576" s="1"/>
    </row>
    <row r="577" spans="9:14" customFormat="1" x14ac:dyDescent="0.2">
      <c r="I577" s="1"/>
      <c r="J577" s="1"/>
      <c r="K577" s="1">
        <f>K567-K574</f>
        <v>10800</v>
      </c>
      <c r="M577" s="1" t="s">
        <v>581</v>
      </c>
      <c r="N577" s="1"/>
    </row>
    <row r="578" spans="9:14" customFormat="1" x14ac:dyDescent="0.2">
      <c r="I578" s="1"/>
      <c r="J578" s="1"/>
      <c r="K578" s="1"/>
      <c r="M578" s="1"/>
      <c r="N578" s="1"/>
    </row>
    <row r="579" spans="9:14" customFormat="1" x14ac:dyDescent="0.2">
      <c r="I579" s="1"/>
      <c r="J579" s="1"/>
      <c r="K579" s="1"/>
      <c r="M579" s="1"/>
      <c r="N579" s="1"/>
    </row>
    <row r="580" spans="9:14" customFormat="1" x14ac:dyDescent="0.2">
      <c r="I580" s="1"/>
      <c r="J580" s="1"/>
      <c r="K580" s="1"/>
      <c r="M580" s="1"/>
      <c r="N580" s="1"/>
    </row>
    <row r="581" spans="9:14" customFormat="1" x14ac:dyDescent="0.2">
      <c r="I581" s="1"/>
      <c r="J581" s="1"/>
      <c r="K581" s="1"/>
      <c r="M581" s="1"/>
      <c r="N581" s="1"/>
    </row>
    <row r="582" spans="9:14" customFormat="1" x14ac:dyDescent="0.2">
      <c r="I582" s="1"/>
      <c r="J582" s="1"/>
      <c r="K582" s="1"/>
      <c r="M582" s="1"/>
      <c r="N582" s="1"/>
    </row>
    <row r="583" spans="9:14" customFormat="1" x14ac:dyDescent="0.2">
      <c r="I583" s="1"/>
      <c r="J583" s="1"/>
      <c r="K583" s="1"/>
      <c r="M583" s="1"/>
      <c r="N583" s="1"/>
    </row>
    <row r="584" spans="9:14" customFormat="1" x14ac:dyDescent="0.2">
      <c r="I584" s="1"/>
      <c r="J584" s="1"/>
      <c r="K584" s="1"/>
      <c r="M584" s="1"/>
      <c r="N584" s="1"/>
    </row>
    <row r="585" spans="9:14" customFormat="1" x14ac:dyDescent="0.2">
      <c r="I585" s="1"/>
      <c r="J585" s="1"/>
      <c r="K585" s="1"/>
      <c r="M585" s="1"/>
      <c r="N585" s="1"/>
    </row>
    <row r="586" spans="9:14" customFormat="1" x14ac:dyDescent="0.2">
      <c r="I586" s="1"/>
      <c r="J586" s="1"/>
      <c r="K586" s="1"/>
      <c r="M586" s="1"/>
      <c r="N586" s="1"/>
    </row>
    <row r="587" spans="9:14" customFormat="1" x14ac:dyDescent="0.2">
      <c r="I587" s="1"/>
      <c r="J587" s="1"/>
      <c r="K587" s="1"/>
      <c r="M587" s="1"/>
      <c r="N587" s="1"/>
    </row>
    <row r="588" spans="9:14" customFormat="1" x14ac:dyDescent="0.2">
      <c r="I588" s="1"/>
      <c r="J588" s="1"/>
      <c r="K588" s="1"/>
      <c r="M588" s="1"/>
      <c r="N588" s="1"/>
    </row>
    <row r="589" spans="9:14" customFormat="1" x14ac:dyDescent="0.2">
      <c r="I589" s="1"/>
      <c r="J589" s="1"/>
      <c r="K589" s="1"/>
      <c r="M589" s="1"/>
      <c r="N589" s="1"/>
    </row>
    <row r="590" spans="9:14" customFormat="1" x14ac:dyDescent="0.2">
      <c r="I590" s="1"/>
      <c r="J590" s="1"/>
      <c r="K590" s="1"/>
      <c r="M590" s="1"/>
      <c r="N590" s="1"/>
    </row>
    <row r="591" spans="9:14" customFormat="1" x14ac:dyDescent="0.2">
      <c r="I591" s="1"/>
      <c r="J591" s="1"/>
      <c r="K591" s="1"/>
      <c r="M591" s="1"/>
      <c r="N591" s="1"/>
    </row>
    <row r="592" spans="9:14" customFormat="1" x14ac:dyDescent="0.2">
      <c r="I592" s="1"/>
      <c r="J592" s="1"/>
      <c r="K592" s="1"/>
      <c r="M592" s="1"/>
      <c r="N592" s="1"/>
    </row>
    <row r="593" spans="1:14" customFormat="1" x14ac:dyDescent="0.2">
      <c r="I593" s="1"/>
      <c r="J593" s="1"/>
      <c r="K593" s="1"/>
      <c r="M593" s="1"/>
      <c r="N593" s="1"/>
    </row>
    <row r="594" spans="1:14" customFormat="1" x14ac:dyDescent="0.2">
      <c r="I594" s="1"/>
      <c r="J594" s="1"/>
      <c r="K594" s="1"/>
      <c r="M594" s="1"/>
      <c r="N594" s="1"/>
    </row>
    <row r="595" spans="1:14" customFormat="1" x14ac:dyDescent="0.2">
      <c r="I595" s="1"/>
      <c r="J595" s="1"/>
      <c r="K595" s="1"/>
      <c r="M595" s="1"/>
      <c r="N595" s="1"/>
    </row>
    <row r="596" spans="1:14" customFormat="1" x14ac:dyDescent="0.2">
      <c r="I596" s="1"/>
      <c r="J596" s="1"/>
      <c r="K596" s="1"/>
      <c r="M596" s="1"/>
      <c r="N596" s="1"/>
    </row>
    <row r="597" spans="1:14" x14ac:dyDescent="0.2">
      <c r="A597" s="49" t="s">
        <v>2475</v>
      </c>
      <c r="B597" s="49"/>
      <c r="C597" s="49"/>
      <c r="D597" s="49"/>
      <c r="E597" s="49"/>
      <c r="F597" s="49"/>
      <c r="G597" s="49"/>
      <c r="H597" s="49"/>
      <c r="I597" s="49"/>
    </row>
    <row r="603" spans="1:14" x14ac:dyDescent="0.2">
      <c r="K603" s="1" t="s">
        <v>2477</v>
      </c>
      <c r="L603" s="1" t="s">
        <v>2478</v>
      </c>
    </row>
    <row r="605" spans="1:14" x14ac:dyDescent="0.2">
      <c r="J605" s="1" t="s">
        <v>2479</v>
      </c>
      <c r="K605" s="96">
        <f>-K607/K606</f>
        <v>-133333.33333333334</v>
      </c>
      <c r="L605" s="96">
        <f>-L607/L606</f>
        <v>-100000</v>
      </c>
    </row>
    <row r="606" spans="1:14" x14ac:dyDescent="0.2">
      <c r="J606" s="1" t="s">
        <v>130</v>
      </c>
      <c r="K606" s="82">
        <v>0.3</v>
      </c>
      <c r="L606" s="82">
        <v>0.3</v>
      </c>
    </row>
    <row r="607" spans="1:14" x14ac:dyDescent="0.2">
      <c r="J607" s="1" t="s">
        <v>2476</v>
      </c>
      <c r="K607" s="1">
        <v>40000</v>
      </c>
      <c r="L607" s="1">
        <v>30000</v>
      </c>
    </row>
    <row r="609" spans="10:11" x14ac:dyDescent="0.2">
      <c r="J609" s="1" t="s">
        <v>512</v>
      </c>
      <c r="K609" s="8">
        <v>400000</v>
      </c>
    </row>
    <row r="610" spans="10:11" x14ac:dyDescent="0.2">
      <c r="J610" s="1" t="s">
        <v>468</v>
      </c>
      <c r="K610" s="1">
        <f>K605-L605</f>
        <v>-33333.333333333343</v>
      </c>
    </row>
    <row r="611" spans="10:11" x14ac:dyDescent="0.2">
      <c r="J611" s="1" t="s">
        <v>2480</v>
      </c>
      <c r="K611" s="8">
        <f>K609+K610</f>
        <v>366666.66666666663</v>
      </c>
    </row>
    <row r="612" spans="10:11" x14ac:dyDescent="0.2">
      <c r="J612" s="1" t="s">
        <v>130</v>
      </c>
      <c r="K612" s="42">
        <v>0.3</v>
      </c>
    </row>
    <row r="613" spans="10:11" x14ac:dyDescent="0.2">
      <c r="J613" s="1" t="s">
        <v>519</v>
      </c>
      <c r="K613" s="1">
        <f>K611*K612</f>
        <v>109999.99999999999</v>
      </c>
    </row>
    <row r="614" spans="10:11" x14ac:dyDescent="0.2">
      <c r="J614" s="1" t="s">
        <v>386</v>
      </c>
      <c r="K614" s="1">
        <f>K607-L607</f>
        <v>10000</v>
      </c>
    </row>
    <row r="615" spans="10:11" x14ac:dyDescent="0.2">
      <c r="J615" s="1" t="s">
        <v>2481</v>
      </c>
      <c r="K615" s="1">
        <f>K613+K614</f>
        <v>119999.99999999999</v>
      </c>
    </row>
    <row r="702" spans="1:9" x14ac:dyDescent="0.2">
      <c r="A702" s="49" t="s">
        <v>2473</v>
      </c>
      <c r="B702" s="49"/>
      <c r="C702" s="49"/>
      <c r="D702" s="49"/>
      <c r="E702" s="49"/>
      <c r="F702" s="49"/>
      <c r="G702" s="49"/>
      <c r="H702" s="49"/>
      <c r="I702" s="49"/>
    </row>
    <row r="703" spans="1:9" x14ac:dyDescent="0.2">
      <c r="A703" s="3" t="s">
        <v>412</v>
      </c>
    </row>
    <row r="704" spans="1:9" x14ac:dyDescent="0.2">
      <c r="A704" s="3" t="s">
        <v>413</v>
      </c>
    </row>
    <row r="706" spans="1:9" x14ac:dyDescent="0.2">
      <c r="A706" s="16" t="s">
        <v>414</v>
      </c>
      <c r="B706" s="16" t="s">
        <v>415</v>
      </c>
      <c r="C706" s="16" t="s">
        <v>418</v>
      </c>
      <c r="D706" s="16"/>
      <c r="E706" s="16"/>
      <c r="F706" s="16"/>
      <c r="G706" s="16"/>
      <c r="H706" s="16"/>
      <c r="I706" s="16"/>
    </row>
    <row r="707" spans="1:9" x14ac:dyDescent="0.2">
      <c r="A707" s="1">
        <v>1</v>
      </c>
      <c r="B707" s="1" t="s">
        <v>416</v>
      </c>
    </row>
    <row r="708" spans="1:9" x14ac:dyDescent="0.2">
      <c r="A708" s="1">
        <v>2</v>
      </c>
      <c r="B708" s="1" t="s">
        <v>417</v>
      </c>
      <c r="C708" s="1" t="s">
        <v>419</v>
      </c>
    </row>
    <row r="709" spans="1:9" x14ac:dyDescent="0.2">
      <c r="A709" s="1">
        <v>3</v>
      </c>
      <c r="B709" s="1" t="s">
        <v>420</v>
      </c>
      <c r="C709" s="1" t="s">
        <v>421</v>
      </c>
    </row>
    <row r="710" spans="1:9" x14ac:dyDescent="0.2">
      <c r="A710" s="1">
        <v>4</v>
      </c>
      <c r="B710" s="1" t="s">
        <v>416</v>
      </c>
    </row>
    <row r="711" spans="1:9" x14ac:dyDescent="0.2">
      <c r="A711" s="1">
        <v>5</v>
      </c>
      <c r="B711" s="1" t="s">
        <v>420</v>
      </c>
    </row>
    <row r="712" spans="1:9" x14ac:dyDescent="0.2">
      <c r="A712" s="1">
        <v>6</v>
      </c>
      <c r="B712" s="1" t="s">
        <v>417</v>
      </c>
      <c r="C712" s="1" t="s">
        <v>422</v>
      </c>
    </row>
    <row r="713" spans="1:9" x14ac:dyDescent="0.2">
      <c r="A713" s="1">
        <v>7</v>
      </c>
      <c r="B713" s="1" t="s">
        <v>423</v>
      </c>
    </row>
    <row r="714" spans="1:9" x14ac:dyDescent="0.2">
      <c r="A714" s="1">
        <v>8</v>
      </c>
      <c r="B714" s="1" t="s">
        <v>420</v>
      </c>
    </row>
    <row r="715" spans="1:9" x14ac:dyDescent="0.2">
      <c r="A715" s="1">
        <v>9</v>
      </c>
      <c r="B715" s="1" t="s">
        <v>417</v>
      </c>
      <c r="C715" s="1" t="s">
        <v>422</v>
      </c>
    </row>
    <row r="733" spans="9:12" x14ac:dyDescent="0.2">
      <c r="K733" s="7">
        <v>44562</v>
      </c>
      <c r="L733" s="7">
        <v>44926</v>
      </c>
    </row>
    <row r="735" spans="9:12" x14ac:dyDescent="0.2">
      <c r="I735" s="407" t="s">
        <v>382</v>
      </c>
      <c r="J735" s="407"/>
      <c r="K735" s="41">
        <f>-K737/K736</f>
        <v>-133333.33333333334</v>
      </c>
      <c r="L735" s="41">
        <f>-L737/L736</f>
        <v>-100000</v>
      </c>
    </row>
    <row r="736" spans="9:12" x14ac:dyDescent="0.2">
      <c r="J736" s="1" t="s">
        <v>130</v>
      </c>
      <c r="K736" s="42">
        <v>0.3</v>
      </c>
      <c r="L736" s="42">
        <v>0.3</v>
      </c>
    </row>
    <row r="737" spans="10:12" x14ac:dyDescent="0.2">
      <c r="J737" s="1" t="s">
        <v>360</v>
      </c>
      <c r="K737" s="1">
        <v>40000</v>
      </c>
      <c r="L737" s="1">
        <v>30000</v>
      </c>
    </row>
    <row r="739" spans="10:12" x14ac:dyDescent="0.2">
      <c r="J739" s="1" t="s">
        <v>511</v>
      </c>
    </row>
    <row r="740" spans="10:12" x14ac:dyDescent="0.2">
      <c r="J740" s="1" t="s">
        <v>512</v>
      </c>
      <c r="L740" s="10">
        <v>400000</v>
      </c>
    </row>
    <row r="741" spans="10:12" x14ac:dyDescent="0.2">
      <c r="J741" s="1" t="s">
        <v>513</v>
      </c>
      <c r="L741" s="10">
        <f>K735-L735</f>
        <v>-33333.333333333343</v>
      </c>
    </row>
    <row r="742" spans="10:12" x14ac:dyDescent="0.2">
      <c r="J742" s="1" t="s">
        <v>514</v>
      </c>
      <c r="L742" s="10">
        <f>L740+L741</f>
        <v>366666.66666666663</v>
      </c>
    </row>
    <row r="743" spans="10:12" x14ac:dyDescent="0.2">
      <c r="J743" s="1" t="s">
        <v>90</v>
      </c>
      <c r="L743" s="42">
        <v>0.3</v>
      </c>
    </row>
    <row r="744" spans="10:12" x14ac:dyDescent="0.2">
      <c r="J744" s="1" t="s">
        <v>167</v>
      </c>
      <c r="L744" s="10">
        <f>L742*L743</f>
        <v>109999.99999999999</v>
      </c>
    </row>
    <row r="746" spans="10:12" x14ac:dyDescent="0.2">
      <c r="J746" s="1" t="s">
        <v>516</v>
      </c>
    </row>
    <row r="747" spans="10:12" x14ac:dyDescent="0.2">
      <c r="J747" s="1" t="s">
        <v>515</v>
      </c>
    </row>
    <row r="749" spans="10:12" x14ac:dyDescent="0.2">
      <c r="J749" s="1" t="s">
        <v>517</v>
      </c>
      <c r="L749" s="10">
        <f>L744+10000</f>
        <v>119999.99999999999</v>
      </c>
    </row>
    <row r="756" spans="9:12" x14ac:dyDescent="0.2">
      <c r="K756" s="7">
        <v>40543</v>
      </c>
    </row>
    <row r="757" spans="9:12" x14ac:dyDescent="0.2">
      <c r="J757" s="1" t="s">
        <v>57</v>
      </c>
      <c r="K757" s="1">
        <f>50000-50000/10*1</f>
        <v>45000</v>
      </c>
    </row>
    <row r="758" spans="9:12" x14ac:dyDescent="0.2">
      <c r="J758" s="1" t="s">
        <v>129</v>
      </c>
      <c r="K758" s="1">
        <f>50000-50000/5*1</f>
        <v>40000</v>
      </c>
    </row>
    <row r="759" spans="9:12" x14ac:dyDescent="0.2">
      <c r="I759" s="407" t="s">
        <v>58</v>
      </c>
      <c r="J759" s="407"/>
      <c r="K759" s="1">
        <f>K757-K758</f>
        <v>5000</v>
      </c>
    </row>
    <row r="767" spans="9:12" x14ac:dyDescent="0.2">
      <c r="K767" s="7">
        <v>40179</v>
      </c>
      <c r="L767" s="7">
        <v>40543</v>
      </c>
    </row>
    <row r="768" spans="9:12" x14ac:dyDescent="0.2">
      <c r="J768" s="1" t="s">
        <v>57</v>
      </c>
      <c r="K768" s="1">
        <v>50000</v>
      </c>
      <c r="L768" s="1">
        <f>50000-50000/10*1</f>
        <v>45000</v>
      </c>
    </row>
    <row r="769" spans="9:12" x14ac:dyDescent="0.2">
      <c r="J769" s="1" t="s">
        <v>129</v>
      </c>
      <c r="K769" s="1">
        <f>K768</f>
        <v>50000</v>
      </c>
      <c r="L769" s="1">
        <f>50000-50000/5*1</f>
        <v>40000</v>
      </c>
    </row>
    <row r="770" spans="9:12" x14ac:dyDescent="0.2">
      <c r="I770" s="407" t="s">
        <v>58</v>
      </c>
      <c r="J770" s="407"/>
      <c r="K770" s="1">
        <f>K768-K769</f>
        <v>0</v>
      </c>
      <c r="L770" s="1">
        <f>L768-L769</f>
        <v>5000</v>
      </c>
    </row>
    <row r="771" spans="9:12" x14ac:dyDescent="0.2">
      <c r="I771" s="2"/>
      <c r="J771" s="2" t="s">
        <v>130</v>
      </c>
      <c r="K771" s="42">
        <v>0.3</v>
      </c>
      <c r="L771" s="42">
        <v>0.3</v>
      </c>
    </row>
    <row r="772" spans="9:12" x14ac:dyDescent="0.2">
      <c r="J772" s="1" t="s">
        <v>520</v>
      </c>
      <c r="K772" s="1">
        <f>K770</f>
        <v>0</v>
      </c>
      <c r="L772" s="1">
        <f>L770*L771</f>
        <v>1500</v>
      </c>
    </row>
    <row r="774" spans="9:12" x14ac:dyDescent="0.2">
      <c r="J774" s="1" t="s">
        <v>511</v>
      </c>
    </row>
    <row r="775" spans="9:12" x14ac:dyDescent="0.2">
      <c r="J775" s="1" t="s">
        <v>512</v>
      </c>
      <c r="K775" s="1">
        <v>100000</v>
      </c>
    </row>
    <row r="776" spans="9:12" x14ac:dyDescent="0.2">
      <c r="J776" s="1" t="s">
        <v>518</v>
      </c>
      <c r="K776" s="1">
        <f>K770-L770</f>
        <v>-5000</v>
      </c>
    </row>
    <row r="777" spans="9:12" x14ac:dyDescent="0.2">
      <c r="J777" s="1" t="s">
        <v>166</v>
      </c>
      <c r="K777" s="1">
        <f>K775+K776</f>
        <v>95000</v>
      </c>
    </row>
    <row r="778" spans="9:12" x14ac:dyDescent="0.2">
      <c r="J778" s="1" t="s">
        <v>130</v>
      </c>
      <c r="K778" s="60">
        <f>30%</f>
        <v>0.3</v>
      </c>
    </row>
    <row r="779" spans="9:12" x14ac:dyDescent="0.2">
      <c r="J779" s="1" t="s">
        <v>519</v>
      </c>
      <c r="K779" s="1">
        <f>K777*K778</f>
        <v>28500</v>
      </c>
    </row>
    <row r="781" spans="9:12" x14ac:dyDescent="0.2">
      <c r="J781" s="1" t="s">
        <v>522</v>
      </c>
    </row>
    <row r="782" spans="9:12" x14ac:dyDescent="0.2">
      <c r="J782" s="1" t="s">
        <v>521</v>
      </c>
    </row>
    <row r="788" spans="9:12" x14ac:dyDescent="0.2">
      <c r="J788" s="1" t="s">
        <v>524</v>
      </c>
      <c r="K788" s="7">
        <v>40543</v>
      </c>
      <c r="L788" s="1" t="s">
        <v>523</v>
      </c>
    </row>
    <row r="789" spans="9:12" x14ac:dyDescent="0.2">
      <c r="J789" s="1" t="s">
        <v>311</v>
      </c>
      <c r="K789" s="1">
        <v>40000</v>
      </c>
      <c r="L789" s="1">
        <v>70000</v>
      </c>
    </row>
    <row r="790" spans="9:12" x14ac:dyDescent="0.2">
      <c r="J790" s="1" t="s">
        <v>525</v>
      </c>
      <c r="K790" s="1">
        <v>0</v>
      </c>
      <c r="L790" s="1">
        <v>0</v>
      </c>
    </row>
    <row r="791" spans="9:12" x14ac:dyDescent="0.2">
      <c r="I791" s="407" t="s">
        <v>382</v>
      </c>
      <c r="J791" s="407"/>
      <c r="K791" s="1">
        <f>K789-K790</f>
        <v>40000</v>
      </c>
      <c r="L791" s="1">
        <f>L789-L790</f>
        <v>70000</v>
      </c>
    </row>
    <row r="792" spans="9:12" x14ac:dyDescent="0.2">
      <c r="J792" s="1" t="s">
        <v>90</v>
      </c>
      <c r="K792" s="42">
        <v>0.3</v>
      </c>
      <c r="L792" s="42">
        <v>0.3</v>
      </c>
    </row>
    <row r="793" spans="9:12" x14ac:dyDescent="0.2">
      <c r="J793" s="1" t="s">
        <v>360</v>
      </c>
      <c r="K793" s="1">
        <f>K791*K792</f>
        <v>12000</v>
      </c>
      <c r="L793" s="20">
        <f>L791*L792</f>
        <v>21000</v>
      </c>
    </row>
    <row r="795" spans="9:12" x14ac:dyDescent="0.2">
      <c r="J795" s="1" t="s">
        <v>526</v>
      </c>
    </row>
    <row r="796" spans="9:12" x14ac:dyDescent="0.2">
      <c r="J796" s="1" t="s">
        <v>527</v>
      </c>
    </row>
    <row r="827" spans="9:11" x14ac:dyDescent="0.2">
      <c r="K827" s="7">
        <v>41639</v>
      </c>
    </row>
    <row r="828" spans="9:11" x14ac:dyDescent="0.2">
      <c r="J828" s="1" t="s">
        <v>311</v>
      </c>
      <c r="K828" s="1">
        <v>1100000</v>
      </c>
    </row>
    <row r="829" spans="9:11" x14ac:dyDescent="0.2">
      <c r="J829" s="1" t="s">
        <v>129</v>
      </c>
      <c r="K829" s="1">
        <v>1000000</v>
      </c>
    </row>
    <row r="830" spans="9:11" x14ac:dyDescent="0.2">
      <c r="I830" s="407" t="s">
        <v>58</v>
      </c>
      <c r="J830" s="407"/>
      <c r="K830" s="1">
        <f>K828-K829</f>
        <v>100000</v>
      </c>
    </row>
    <row r="841" spans="9:12" x14ac:dyDescent="0.2">
      <c r="K841" s="7">
        <v>40908</v>
      </c>
      <c r="L841" s="7">
        <v>41274</v>
      </c>
    </row>
    <row r="842" spans="9:12" x14ac:dyDescent="0.2">
      <c r="J842" s="1" t="s">
        <v>311</v>
      </c>
      <c r="K842" s="1">
        <v>40000</v>
      </c>
      <c r="L842" s="1">
        <v>80000</v>
      </c>
    </row>
    <row r="843" spans="9:12" x14ac:dyDescent="0.2">
      <c r="J843" s="1" t="s">
        <v>56</v>
      </c>
      <c r="K843" s="1">
        <v>40000</v>
      </c>
      <c r="L843" s="1">
        <v>100000</v>
      </c>
    </row>
    <row r="844" spans="9:12" x14ac:dyDescent="0.2">
      <c r="I844" s="407" t="s">
        <v>382</v>
      </c>
      <c r="J844" s="407"/>
      <c r="K844" s="1">
        <f>K842-K843</f>
        <v>0</v>
      </c>
      <c r="L844" s="1">
        <f>L842-L843</f>
        <v>-20000</v>
      </c>
    </row>
    <row r="845" spans="9:12" x14ac:dyDescent="0.2">
      <c r="J845" s="1" t="s">
        <v>90</v>
      </c>
      <c r="K845" s="42">
        <v>0.3</v>
      </c>
      <c r="L845" s="42">
        <v>0.3</v>
      </c>
    </row>
    <row r="846" spans="9:12" x14ac:dyDescent="0.2">
      <c r="J846" s="1" t="s">
        <v>528</v>
      </c>
      <c r="K846" s="1">
        <f>K844*K845</f>
        <v>0</v>
      </c>
      <c r="L846" s="1">
        <f>-L845*L844</f>
        <v>6000</v>
      </c>
    </row>
    <row r="848" spans="9:12" x14ac:dyDescent="0.2">
      <c r="J848" s="1" t="s">
        <v>530</v>
      </c>
    </row>
    <row r="849" spans="10:10" x14ac:dyDescent="0.2">
      <c r="J849" s="1" t="s">
        <v>529</v>
      </c>
    </row>
  </sheetData>
  <mergeCells count="14">
    <mergeCell ref="I844:J844"/>
    <mergeCell ref="C488:D488"/>
    <mergeCell ref="E488:F488"/>
    <mergeCell ref="A488:B489"/>
    <mergeCell ref="I735:J735"/>
    <mergeCell ref="I759:J759"/>
    <mergeCell ref="I770:J770"/>
    <mergeCell ref="I791:J791"/>
    <mergeCell ref="I830:J830"/>
    <mergeCell ref="R513:S513"/>
    <mergeCell ref="T513:U513"/>
    <mergeCell ref="I528:K528"/>
    <mergeCell ref="I556:J556"/>
    <mergeCell ref="D260:F260"/>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139245-54F5-6C44-9ABA-B242B8C0EF83}">
  <dimension ref="A1:T172"/>
  <sheetViews>
    <sheetView rightToLeft="1" zoomScale="214" zoomScaleNormal="290" workbookViewId="0">
      <selection activeCell="I16" sqref="I16"/>
    </sheetView>
  </sheetViews>
  <sheetFormatPr baseColWidth="10" defaultRowHeight="16" x14ac:dyDescent="0.2"/>
  <cols>
    <col min="1" max="8" width="10.83203125" style="162"/>
    <col min="9" max="10" width="10.83203125" style="96"/>
    <col min="11" max="11" width="14" style="96" customWidth="1"/>
    <col min="12" max="12" width="10.83203125" style="162" customWidth="1"/>
    <col min="13" max="13" width="10.83203125" style="96" customWidth="1"/>
    <col min="14" max="14" width="10.83203125" style="96"/>
    <col min="15" max="16384" width="10.83203125" style="162"/>
  </cols>
  <sheetData>
    <row r="1" spans="1:8" s="96" customFormat="1" x14ac:dyDescent="0.2">
      <c r="A1" s="303" t="s">
        <v>610</v>
      </c>
      <c r="B1" s="303"/>
      <c r="C1" s="303"/>
      <c r="D1" s="303"/>
      <c r="E1" s="303"/>
      <c r="F1" s="303"/>
      <c r="G1" s="304"/>
      <c r="H1" s="304">
        <v>45623</v>
      </c>
    </row>
    <row r="2" spans="1:8" x14ac:dyDescent="0.2">
      <c r="G2" s="305"/>
    </row>
    <row r="3" spans="1:8" ht="17" thickBot="1" x14ac:dyDescent="0.25">
      <c r="G3" s="305"/>
    </row>
    <row r="4" spans="1:8" x14ac:dyDescent="0.2">
      <c r="A4" s="280" t="s">
        <v>431</v>
      </c>
      <c r="B4" s="203"/>
      <c r="C4" s="203"/>
      <c r="D4" s="203"/>
      <c r="E4" s="203"/>
      <c r="F4" s="203"/>
      <c r="G4" s="203"/>
      <c r="H4" s="204"/>
    </row>
    <row r="5" spans="1:8" x14ac:dyDescent="0.2">
      <c r="A5" s="205" t="s">
        <v>432</v>
      </c>
      <c r="B5" s="96"/>
      <c r="C5" s="96"/>
      <c r="D5" s="96"/>
      <c r="E5" s="96"/>
      <c r="F5" s="96"/>
      <c r="G5" s="96"/>
      <c r="H5" s="206"/>
    </row>
    <row r="6" spans="1:8" x14ac:dyDescent="0.2">
      <c r="A6" s="205" t="s">
        <v>433</v>
      </c>
      <c r="B6" s="96"/>
      <c r="C6" s="96"/>
      <c r="D6" s="96"/>
      <c r="E6" s="96"/>
      <c r="F6" s="96"/>
      <c r="G6" s="96"/>
      <c r="H6" s="206"/>
    </row>
    <row r="7" spans="1:8" x14ac:dyDescent="0.2">
      <c r="A7" s="205" t="s">
        <v>434</v>
      </c>
      <c r="B7" s="96"/>
      <c r="C7" s="96"/>
      <c r="D7" s="96"/>
      <c r="E7" s="96"/>
      <c r="F7" s="96"/>
      <c r="G7" s="96"/>
      <c r="H7" s="206"/>
    </row>
    <row r="8" spans="1:8" x14ac:dyDescent="0.2">
      <c r="A8" s="205" t="s">
        <v>435</v>
      </c>
      <c r="B8" s="96"/>
      <c r="C8" s="96"/>
      <c r="D8" s="96"/>
      <c r="E8" s="96"/>
      <c r="F8" s="96"/>
      <c r="G8" s="96"/>
      <c r="H8" s="206"/>
    </row>
    <row r="9" spans="1:8" ht="17" thickBot="1" x14ac:dyDescent="0.25">
      <c r="A9" s="207" t="s">
        <v>436</v>
      </c>
      <c r="B9" s="208"/>
      <c r="C9" s="208"/>
      <c r="D9" s="208"/>
      <c r="E9" s="208"/>
      <c r="F9" s="208"/>
      <c r="G9" s="208"/>
      <c r="H9" s="209"/>
    </row>
    <row r="10" spans="1:8" ht="17" thickBot="1" x14ac:dyDescent="0.25"/>
    <row r="11" spans="1:8" x14ac:dyDescent="0.2">
      <c r="A11" s="280" t="s">
        <v>437</v>
      </c>
      <c r="B11" s="288"/>
      <c r="C11" s="288"/>
      <c r="D11" s="288"/>
      <c r="E11" s="288"/>
      <c r="F11" s="288"/>
      <c r="G11" s="288"/>
      <c r="H11" s="289"/>
    </row>
    <row r="12" spans="1:8" x14ac:dyDescent="0.2">
      <c r="A12" s="205" t="s">
        <v>438</v>
      </c>
      <c r="H12" s="291"/>
    </row>
    <row r="13" spans="1:8" x14ac:dyDescent="0.2">
      <c r="A13" s="205" t="s">
        <v>439</v>
      </c>
      <c r="H13" s="291"/>
    </row>
    <row r="14" spans="1:8" x14ac:dyDescent="0.2">
      <c r="A14" s="205" t="s">
        <v>441</v>
      </c>
      <c r="H14" s="291"/>
    </row>
    <row r="15" spans="1:8" ht="17" thickBot="1" x14ac:dyDescent="0.25">
      <c r="A15" s="207" t="s">
        <v>440</v>
      </c>
      <c r="B15" s="294"/>
      <c r="C15" s="294"/>
      <c r="D15" s="294"/>
      <c r="E15" s="294"/>
      <c r="F15" s="294"/>
      <c r="G15" s="294"/>
      <c r="H15" s="295"/>
    </row>
    <row r="21" spans="7:20" x14ac:dyDescent="0.2">
      <c r="G21" s="96"/>
      <c r="H21" s="96"/>
      <c r="J21" s="162"/>
      <c r="K21" s="192" t="s">
        <v>712</v>
      </c>
      <c r="L21" s="96"/>
      <c r="O21" s="192" t="s">
        <v>805</v>
      </c>
      <c r="P21" s="96"/>
      <c r="Q21" s="96"/>
      <c r="R21" s="96"/>
      <c r="S21" s="96"/>
    </row>
    <row r="22" spans="7:20" x14ac:dyDescent="0.2">
      <c r="G22" s="96"/>
      <c r="H22" s="96"/>
      <c r="J22" s="162"/>
      <c r="L22" s="96"/>
      <c r="O22" s="96"/>
      <c r="P22" s="96"/>
      <c r="Q22" s="96"/>
      <c r="R22" s="96"/>
      <c r="S22" s="96"/>
    </row>
    <row r="23" spans="7:20" x14ac:dyDescent="0.2">
      <c r="G23" s="306" t="s">
        <v>711</v>
      </c>
      <c r="H23" s="307">
        <v>43465</v>
      </c>
      <c r="I23" s="307">
        <v>43830</v>
      </c>
      <c r="J23" s="162"/>
      <c r="K23" s="96" t="s">
        <v>63</v>
      </c>
      <c r="L23" s="96"/>
      <c r="M23" s="80">
        <v>1200000</v>
      </c>
      <c r="O23" s="308"/>
      <c r="P23" s="309"/>
      <c r="Q23" s="413" t="s">
        <v>360</v>
      </c>
      <c r="R23" s="414"/>
      <c r="S23" s="415" t="s">
        <v>807</v>
      </c>
      <c r="T23" s="416"/>
    </row>
    <row r="24" spans="7:20" x14ac:dyDescent="0.2">
      <c r="G24" s="216" t="s">
        <v>311</v>
      </c>
      <c r="H24" s="216">
        <v>50000</v>
      </c>
      <c r="I24" s="216">
        <v>80000</v>
      </c>
      <c r="J24" s="162"/>
      <c r="L24" s="96"/>
      <c r="M24" s="80"/>
      <c r="O24" s="216" t="s">
        <v>806</v>
      </c>
      <c r="P24" s="216"/>
      <c r="Q24" s="310">
        <v>43465</v>
      </c>
      <c r="R24" s="310">
        <v>43830</v>
      </c>
      <c r="S24" s="310">
        <v>43465</v>
      </c>
      <c r="T24" s="310">
        <v>43830</v>
      </c>
    </row>
    <row r="25" spans="7:20" x14ac:dyDescent="0.2">
      <c r="G25" s="216" t="s">
        <v>56</v>
      </c>
      <c r="H25" s="216">
        <v>0</v>
      </c>
      <c r="I25" s="216">
        <v>0</v>
      </c>
      <c r="J25" s="162"/>
      <c r="K25" s="96" t="s">
        <v>467</v>
      </c>
      <c r="L25" s="96"/>
      <c r="M25" s="80"/>
      <c r="O25" s="216" t="s">
        <v>711</v>
      </c>
      <c r="P25" s="216"/>
      <c r="Q25" s="311">
        <f>H28</f>
        <v>17500</v>
      </c>
      <c r="R25" s="311">
        <f>I28</f>
        <v>29600</v>
      </c>
      <c r="S25" s="311"/>
      <c r="T25" s="312"/>
    </row>
    <row r="26" spans="7:20" ht="34" x14ac:dyDescent="0.2">
      <c r="G26" s="268" t="s">
        <v>533</v>
      </c>
      <c r="H26" s="216">
        <f>H24-H25</f>
        <v>50000</v>
      </c>
      <c r="I26" s="216">
        <f>I24-I25</f>
        <v>80000</v>
      </c>
      <c r="J26" s="162"/>
      <c r="K26" s="96" t="s">
        <v>713</v>
      </c>
      <c r="L26" s="96"/>
      <c r="M26" s="80">
        <f>I31</f>
        <v>30000</v>
      </c>
      <c r="O26" s="216" t="s">
        <v>721</v>
      </c>
      <c r="P26" s="216"/>
      <c r="Q26" s="311">
        <f>H43</f>
        <v>4433.3333333333321</v>
      </c>
      <c r="R26" s="311">
        <f>I43</f>
        <v>6174.9999999999982</v>
      </c>
      <c r="S26" s="311"/>
      <c r="T26" s="312"/>
    </row>
    <row r="27" spans="7:20" x14ac:dyDescent="0.2">
      <c r="G27" s="216" t="s">
        <v>130</v>
      </c>
      <c r="H27" s="269">
        <v>0.35</v>
      </c>
      <c r="I27" s="269">
        <v>0.37</v>
      </c>
      <c r="J27" s="162"/>
      <c r="K27" s="96" t="s">
        <v>720</v>
      </c>
      <c r="L27" s="96"/>
      <c r="M27" s="80">
        <f>H41-I41</f>
        <v>3166.6666666666642</v>
      </c>
      <c r="O27" s="216" t="s">
        <v>722</v>
      </c>
      <c r="P27" s="216"/>
      <c r="Q27" s="311"/>
      <c r="R27" s="311"/>
      <c r="S27" s="311">
        <f>H64</f>
        <v>140254.18750000015</v>
      </c>
      <c r="T27" s="311">
        <f>I64</f>
        <v>210911.56125000029</v>
      </c>
    </row>
    <row r="28" spans="7:20" x14ac:dyDescent="0.2">
      <c r="G28" s="216" t="s">
        <v>360</v>
      </c>
      <c r="H28" s="216">
        <f>H26*H27</f>
        <v>17500</v>
      </c>
      <c r="I28" s="216">
        <f>I26*I27</f>
        <v>29600</v>
      </c>
      <c r="J28" s="162"/>
      <c r="K28" s="96" t="s">
        <v>748</v>
      </c>
      <c r="L28" s="96"/>
      <c r="M28" s="80">
        <f>J93-K93</f>
        <v>200000</v>
      </c>
      <c r="O28" s="216" t="s">
        <v>808</v>
      </c>
      <c r="P28" s="216"/>
      <c r="Q28" s="311"/>
      <c r="R28" s="311">
        <f>K95</f>
        <v>29600</v>
      </c>
      <c r="S28" s="311">
        <f>-J95</f>
        <v>42000</v>
      </c>
      <c r="T28" s="312"/>
    </row>
    <row r="29" spans="7:20" x14ac:dyDescent="0.2">
      <c r="G29" s="96"/>
      <c r="H29" s="96"/>
      <c r="J29" s="162"/>
      <c r="K29" s="96" t="s">
        <v>750</v>
      </c>
      <c r="L29" s="96"/>
      <c r="M29" s="80">
        <f>K118-J118</f>
        <v>2750</v>
      </c>
      <c r="O29" s="216" t="s">
        <v>749</v>
      </c>
      <c r="P29" s="216"/>
      <c r="Q29" s="311">
        <f>J120</f>
        <v>5950</v>
      </c>
      <c r="R29" s="311">
        <f>K120</f>
        <v>7307.5</v>
      </c>
      <c r="S29" s="311"/>
      <c r="T29" s="312"/>
    </row>
    <row r="30" spans="7:20" x14ac:dyDescent="0.2">
      <c r="G30" s="96" t="s">
        <v>339</v>
      </c>
      <c r="H30" s="96"/>
      <c r="J30" s="162"/>
      <c r="K30" s="96" t="s">
        <v>760</v>
      </c>
      <c r="L30" s="96"/>
      <c r="M30" s="80">
        <f>I132</f>
        <v>6000</v>
      </c>
      <c r="O30" s="313" t="s">
        <v>198</v>
      </c>
      <c r="P30" s="313"/>
      <c r="Q30" s="314">
        <f>SUM(Q25:Q29)</f>
        <v>27883.333333333332</v>
      </c>
      <c r="R30" s="314">
        <f>SUM(R25:R29)</f>
        <v>72682.5</v>
      </c>
      <c r="S30" s="315">
        <f>SUM(S25:S29)</f>
        <v>182254.18750000015</v>
      </c>
      <c r="T30" s="315">
        <f>SUM(T25:T29)</f>
        <v>210911.56125000029</v>
      </c>
    </row>
    <row r="31" spans="7:20" x14ac:dyDescent="0.2">
      <c r="G31" s="255" t="s">
        <v>608</v>
      </c>
      <c r="H31" s="96"/>
      <c r="I31" s="96">
        <f>I26-H26</f>
        <v>30000</v>
      </c>
      <c r="J31" s="162"/>
      <c r="K31" s="96" t="s">
        <v>793</v>
      </c>
      <c r="L31" s="96"/>
      <c r="M31" s="80">
        <f>L158</f>
        <v>52500</v>
      </c>
      <c r="O31" s="96"/>
      <c r="P31" s="96"/>
      <c r="Q31" s="96"/>
      <c r="R31" s="96"/>
      <c r="S31" s="96"/>
    </row>
    <row r="32" spans="7:20" x14ac:dyDescent="0.2">
      <c r="G32" s="96"/>
      <c r="H32" s="96"/>
      <c r="J32" s="162"/>
      <c r="K32" s="96" t="s">
        <v>798</v>
      </c>
      <c r="L32" s="96"/>
      <c r="M32" s="80">
        <v>66000</v>
      </c>
      <c r="O32" s="96" t="s">
        <v>500</v>
      </c>
      <c r="P32" s="96"/>
      <c r="Q32" s="80">
        <f>R30-Q30</f>
        <v>44799.166666666672</v>
      </c>
      <c r="R32" s="96"/>
      <c r="S32" s="96" t="s">
        <v>810</v>
      </c>
    </row>
    <row r="33" spans="7:19" x14ac:dyDescent="0.2">
      <c r="G33" s="96"/>
      <c r="H33" s="96"/>
      <c r="J33" s="162"/>
      <c r="K33" s="96" t="s">
        <v>802</v>
      </c>
      <c r="L33" s="96"/>
      <c r="M33" s="80">
        <v>70000</v>
      </c>
      <c r="O33" s="96" t="s">
        <v>809</v>
      </c>
      <c r="P33" s="96"/>
      <c r="Q33" s="80">
        <f>T30-S30</f>
        <v>28657.373750000144</v>
      </c>
      <c r="R33" s="96"/>
      <c r="S33" s="96" t="s">
        <v>811</v>
      </c>
    </row>
    <row r="34" spans="7:19" x14ac:dyDescent="0.2">
      <c r="G34" s="96"/>
      <c r="H34" s="96"/>
      <c r="J34" s="162"/>
      <c r="L34" s="96"/>
      <c r="M34" s="80"/>
      <c r="O34" s="96" t="s">
        <v>504</v>
      </c>
      <c r="P34" s="96"/>
      <c r="Q34" s="80">
        <f>Q32-Q33</f>
        <v>16141.792916666527</v>
      </c>
      <c r="R34" s="96"/>
      <c r="S34" s="96" t="s">
        <v>812</v>
      </c>
    </row>
    <row r="35" spans="7:19" x14ac:dyDescent="0.2">
      <c r="G35" s="96"/>
      <c r="H35" s="96"/>
      <c r="J35" s="162"/>
      <c r="K35" s="96" t="s">
        <v>468</v>
      </c>
      <c r="L35" s="96"/>
      <c r="M35" s="80"/>
      <c r="O35" s="96"/>
      <c r="P35" s="96"/>
      <c r="Q35" s="96"/>
      <c r="R35" s="96"/>
      <c r="S35" s="96"/>
    </row>
    <row r="36" spans="7:19" x14ac:dyDescent="0.2">
      <c r="G36" s="96"/>
      <c r="H36" s="96"/>
      <c r="J36" s="162"/>
      <c r="K36" s="96" t="s">
        <v>733</v>
      </c>
      <c r="L36" s="96"/>
      <c r="M36" s="80">
        <f>H62-I62</f>
        <v>-140072.62500000023</v>
      </c>
      <c r="O36" s="96" t="s">
        <v>813</v>
      </c>
    </row>
    <row r="37" spans="7:19" x14ac:dyDescent="0.2">
      <c r="G37" s="96"/>
      <c r="H37" s="96"/>
      <c r="J37" s="162"/>
      <c r="K37" s="96" t="s">
        <v>754</v>
      </c>
      <c r="L37" s="96"/>
      <c r="M37" s="80">
        <v>-80000</v>
      </c>
      <c r="O37" s="96" t="s">
        <v>605</v>
      </c>
      <c r="P37" s="96"/>
      <c r="Q37" s="80">
        <f>M47</f>
        <v>486520.41458333324</v>
      </c>
      <c r="R37" s="162" t="s">
        <v>814</v>
      </c>
    </row>
    <row r="38" spans="7:19" x14ac:dyDescent="0.2">
      <c r="G38" s="306" t="s">
        <v>721</v>
      </c>
      <c r="H38" s="307">
        <v>43465</v>
      </c>
      <c r="I38" s="307">
        <v>43830</v>
      </c>
      <c r="J38" s="162"/>
      <c r="L38" s="96"/>
      <c r="M38" s="80"/>
      <c r="O38" s="96" t="s">
        <v>815</v>
      </c>
      <c r="P38" s="96"/>
      <c r="Q38" s="80">
        <f>-Q34</f>
        <v>-16141.792916666527</v>
      </c>
    </row>
    <row r="39" spans="7:19" x14ac:dyDescent="0.2">
      <c r="G39" s="216" t="s">
        <v>311</v>
      </c>
      <c r="H39" s="297">
        <f>(80000*9/10)-((80000*9/10)-5000)/6*4</f>
        <v>27333.333333333336</v>
      </c>
      <c r="I39" s="297">
        <f>(80000*9/10)-((80000*9/10)-5000)/6*5</f>
        <v>16166.666666666672</v>
      </c>
      <c r="J39" s="162"/>
      <c r="L39" s="96"/>
      <c r="M39" s="80"/>
      <c r="O39" s="96" t="s">
        <v>816</v>
      </c>
      <c r="P39" s="96"/>
      <c r="Q39" s="81">
        <f>Q37+Q38</f>
        <v>470378.6216666667</v>
      </c>
    </row>
    <row r="40" spans="7:19" ht="17" thickBot="1" x14ac:dyDescent="0.25">
      <c r="G40" s="216" t="s">
        <v>56</v>
      </c>
      <c r="H40" s="297">
        <f>80000-80000/10*5</f>
        <v>40000</v>
      </c>
      <c r="I40" s="297">
        <f>80000-80000/10*6</f>
        <v>32000</v>
      </c>
      <c r="J40" s="162"/>
      <c r="K40" s="192" t="s">
        <v>514</v>
      </c>
      <c r="L40" s="192"/>
      <c r="M40" s="316">
        <f>SUM(M23:M37)</f>
        <v>1410344.0416666665</v>
      </c>
    </row>
    <row r="41" spans="7:19" ht="34" x14ac:dyDescent="0.2">
      <c r="G41" s="268" t="s">
        <v>533</v>
      </c>
      <c r="H41" s="215">
        <f>H39-H40</f>
        <v>-12666.666666666664</v>
      </c>
      <c r="I41" s="215">
        <f>I39-I40</f>
        <v>-15833.333333333328</v>
      </c>
      <c r="J41" s="162"/>
      <c r="K41" s="96" t="s">
        <v>90</v>
      </c>
      <c r="L41" s="96"/>
      <c r="M41" s="317">
        <v>0.35</v>
      </c>
    </row>
    <row r="42" spans="7:19" ht="17" thickBot="1" x14ac:dyDescent="0.25">
      <c r="G42" s="216" t="s">
        <v>130</v>
      </c>
      <c r="H42" s="269">
        <v>0.35</v>
      </c>
      <c r="I42" s="269">
        <v>0.39</v>
      </c>
      <c r="J42" s="162"/>
      <c r="K42" s="192" t="s">
        <v>803</v>
      </c>
      <c r="L42" s="318"/>
      <c r="M42" s="316">
        <f>M40*M41</f>
        <v>493620.41458333324</v>
      </c>
    </row>
    <row r="43" spans="7:19" x14ac:dyDescent="0.2">
      <c r="G43" s="216" t="s">
        <v>360</v>
      </c>
      <c r="H43" s="298">
        <f>H41*-H42</f>
        <v>4433.3333333333321</v>
      </c>
      <c r="I43" s="298">
        <f>I41*-I42</f>
        <v>6174.9999999999982</v>
      </c>
      <c r="J43" s="162"/>
    </row>
    <row r="44" spans="7:19" x14ac:dyDescent="0.2">
      <c r="K44" s="96" t="s">
        <v>755</v>
      </c>
      <c r="L44" s="96"/>
      <c r="M44" s="80">
        <f>20%*-M37</f>
        <v>16000</v>
      </c>
    </row>
    <row r="45" spans="7:19" x14ac:dyDescent="0.2">
      <c r="G45" s="96" t="s">
        <v>714</v>
      </c>
      <c r="K45" s="96" t="s">
        <v>799</v>
      </c>
      <c r="L45" s="96"/>
      <c r="M45" s="80">
        <f>-35%*66000</f>
        <v>-23100</v>
      </c>
    </row>
    <row r="46" spans="7:19" x14ac:dyDescent="0.2">
      <c r="G46" s="96" t="s">
        <v>715</v>
      </c>
    </row>
    <row r="47" spans="7:19" ht="17" thickBot="1" x14ac:dyDescent="0.25">
      <c r="G47" s="96" t="s">
        <v>261</v>
      </c>
      <c r="H47" s="299">
        <v>80000</v>
      </c>
      <c r="K47" s="192" t="s">
        <v>804</v>
      </c>
      <c r="L47" s="318"/>
      <c r="M47" s="316">
        <f>SUM(M42:M45)</f>
        <v>486520.41458333324</v>
      </c>
    </row>
    <row r="48" spans="7:19" x14ac:dyDescent="0.2">
      <c r="G48" s="96" t="s">
        <v>716</v>
      </c>
      <c r="H48" s="162">
        <f>80000/10</f>
        <v>8000</v>
      </c>
    </row>
    <row r="49" spans="7:10" x14ac:dyDescent="0.2">
      <c r="G49" s="96" t="s">
        <v>57</v>
      </c>
      <c r="H49" s="299">
        <f>H47-H48</f>
        <v>72000</v>
      </c>
    </row>
    <row r="51" spans="7:10" x14ac:dyDescent="0.2">
      <c r="G51" s="96" t="s">
        <v>717</v>
      </c>
    </row>
    <row r="52" spans="7:10" x14ac:dyDescent="0.2">
      <c r="G52" s="96" t="s">
        <v>718</v>
      </c>
    </row>
    <row r="54" spans="7:10" x14ac:dyDescent="0.2">
      <c r="G54" s="96" t="s">
        <v>719</v>
      </c>
      <c r="J54" s="299">
        <f>(72000-5000)/6</f>
        <v>11166.666666666666</v>
      </c>
    </row>
    <row r="59" spans="7:10" x14ac:dyDescent="0.2">
      <c r="G59" s="306" t="s">
        <v>722</v>
      </c>
      <c r="H59" s="307">
        <v>43465</v>
      </c>
      <c r="I59" s="307">
        <v>43830</v>
      </c>
    </row>
    <row r="60" spans="7:10" x14ac:dyDescent="0.2">
      <c r="G60" s="216" t="s">
        <v>311</v>
      </c>
      <c r="H60" s="297">
        <f>1000000*(1+5%)^3*(1+10%)^2</f>
        <v>1400726.2500000005</v>
      </c>
      <c r="I60" s="297">
        <f>1000000*(1+5%)^3*(1+10%)^3</f>
        <v>1540798.8750000007</v>
      </c>
    </row>
    <row r="61" spans="7:10" x14ac:dyDescent="0.2">
      <c r="G61" s="216" t="s">
        <v>56</v>
      </c>
      <c r="H61" s="297">
        <v>1000000</v>
      </c>
      <c r="I61" s="297">
        <v>1000000</v>
      </c>
    </row>
    <row r="62" spans="7:10" ht="34" x14ac:dyDescent="0.2">
      <c r="G62" s="268" t="s">
        <v>541</v>
      </c>
      <c r="H62" s="215">
        <f>H60-H61</f>
        <v>400726.25000000047</v>
      </c>
      <c r="I62" s="215">
        <f>I60-I61</f>
        <v>540798.8750000007</v>
      </c>
    </row>
    <row r="63" spans="7:10" x14ac:dyDescent="0.2">
      <c r="G63" s="216" t="s">
        <v>130</v>
      </c>
      <c r="H63" s="269">
        <v>0.35</v>
      </c>
      <c r="I63" s="269">
        <v>0.39</v>
      </c>
    </row>
    <row r="64" spans="7:10" ht="34" x14ac:dyDescent="0.2">
      <c r="G64" s="268" t="s">
        <v>542</v>
      </c>
      <c r="H64" s="298">
        <f>H62*H63</f>
        <v>140254.18750000015</v>
      </c>
      <c r="I64" s="298">
        <f>I62*I63</f>
        <v>210911.56125000029</v>
      </c>
    </row>
    <row r="66" spans="7:12" x14ac:dyDescent="0.2">
      <c r="G66" s="162" t="s">
        <v>723</v>
      </c>
    </row>
    <row r="67" spans="7:12" x14ac:dyDescent="0.2">
      <c r="G67" s="162" t="s">
        <v>724</v>
      </c>
    </row>
    <row r="68" spans="7:12" x14ac:dyDescent="0.2">
      <c r="G68" s="162" t="s">
        <v>725</v>
      </c>
    </row>
    <row r="70" spans="7:12" x14ac:dyDescent="0.2">
      <c r="G70" s="162" t="s">
        <v>726</v>
      </c>
      <c r="I70" s="96">
        <f>1000000*1.05^3*1.1^2</f>
        <v>1400726.2500000005</v>
      </c>
      <c r="L70" s="162" t="s">
        <v>727</v>
      </c>
    </row>
    <row r="71" spans="7:12" x14ac:dyDescent="0.2">
      <c r="G71" s="162" t="s">
        <v>757</v>
      </c>
      <c r="I71" s="96">
        <f>1000000*1.05^3*1.1^3</f>
        <v>1540798.8750000007</v>
      </c>
      <c r="L71" s="162" t="s">
        <v>728</v>
      </c>
    </row>
    <row r="73" spans="7:12" x14ac:dyDescent="0.2">
      <c r="G73" s="162" t="s">
        <v>729</v>
      </c>
    </row>
    <row r="74" spans="7:12" x14ac:dyDescent="0.2">
      <c r="G74" s="162" t="s">
        <v>730</v>
      </c>
    </row>
    <row r="75" spans="7:12" x14ac:dyDescent="0.2">
      <c r="G75" s="162" t="s">
        <v>731</v>
      </c>
    </row>
    <row r="76" spans="7:12" x14ac:dyDescent="0.2">
      <c r="G76" s="162" t="s">
        <v>732</v>
      </c>
    </row>
    <row r="89" spans="7:11" x14ac:dyDescent="0.2">
      <c r="G89" s="306" t="s">
        <v>734</v>
      </c>
      <c r="J89" s="307">
        <v>43465</v>
      </c>
      <c r="K89" s="307">
        <v>43830</v>
      </c>
    </row>
    <row r="90" spans="7:11" x14ac:dyDescent="0.2">
      <c r="J90" s="162" t="s">
        <v>735</v>
      </c>
      <c r="K90" s="96" t="s">
        <v>736</v>
      </c>
    </row>
    <row r="91" spans="7:11" x14ac:dyDescent="0.2">
      <c r="G91" s="216" t="s">
        <v>311</v>
      </c>
      <c r="J91" s="297">
        <f>400000-280000</f>
        <v>120000</v>
      </c>
      <c r="K91" s="215">
        <v>-80000</v>
      </c>
    </row>
    <row r="92" spans="7:11" x14ac:dyDescent="0.2">
      <c r="G92" s="216" t="s">
        <v>56</v>
      </c>
      <c r="J92" s="297">
        <v>0</v>
      </c>
      <c r="K92" s="297">
        <v>0</v>
      </c>
    </row>
    <row r="93" spans="7:11" ht="34" customHeight="1" x14ac:dyDescent="0.2">
      <c r="G93" s="410" t="s">
        <v>737</v>
      </c>
      <c r="H93" s="411"/>
      <c r="I93" s="412"/>
      <c r="J93" s="215">
        <f>J91-J92</f>
        <v>120000</v>
      </c>
      <c r="K93" s="215">
        <f>K91-K92</f>
        <v>-80000</v>
      </c>
    </row>
    <row r="94" spans="7:11" x14ac:dyDescent="0.2">
      <c r="G94" s="216" t="s">
        <v>130</v>
      </c>
      <c r="J94" s="269">
        <v>0.35</v>
      </c>
      <c r="K94" s="269">
        <v>0.37</v>
      </c>
    </row>
    <row r="95" spans="7:11" ht="34" customHeight="1" x14ac:dyDescent="0.2">
      <c r="G95" s="410" t="s">
        <v>651</v>
      </c>
      <c r="H95" s="411"/>
      <c r="I95" s="412"/>
      <c r="J95" s="215">
        <f>-J94*J93</f>
        <v>-42000</v>
      </c>
      <c r="K95" s="298">
        <f>-K94*K93</f>
        <v>29600</v>
      </c>
    </row>
    <row r="97" spans="7:12" x14ac:dyDescent="0.2">
      <c r="G97" s="96" t="s">
        <v>738</v>
      </c>
      <c r="H97" s="96"/>
    </row>
    <row r="98" spans="7:12" x14ac:dyDescent="0.2">
      <c r="G98" s="96" t="s">
        <v>739</v>
      </c>
      <c r="H98" s="96"/>
    </row>
    <row r="99" spans="7:12" x14ac:dyDescent="0.2">
      <c r="G99" s="96" t="s">
        <v>740</v>
      </c>
      <c r="H99" s="96"/>
    </row>
    <row r="100" spans="7:12" x14ac:dyDescent="0.2">
      <c r="G100" s="96"/>
      <c r="H100" s="96"/>
    </row>
    <row r="101" spans="7:12" x14ac:dyDescent="0.2">
      <c r="G101" s="96" t="s">
        <v>741</v>
      </c>
    </row>
    <row r="102" spans="7:12" x14ac:dyDescent="0.2">
      <c r="G102" s="96" t="s">
        <v>742</v>
      </c>
      <c r="L102" s="331">
        <f>HV41-I41</f>
        <v>15833.333333333328</v>
      </c>
    </row>
    <row r="103" spans="7:12" x14ac:dyDescent="0.2">
      <c r="H103" s="162" t="s">
        <v>743</v>
      </c>
      <c r="J103" s="157">
        <f>J91</f>
        <v>120000</v>
      </c>
    </row>
    <row r="104" spans="7:12" x14ac:dyDescent="0.2">
      <c r="H104" s="162" t="s">
        <v>744</v>
      </c>
      <c r="J104" s="157">
        <f>J103</f>
        <v>120000</v>
      </c>
    </row>
    <row r="106" spans="7:12" x14ac:dyDescent="0.2">
      <c r="G106" s="162" t="s">
        <v>745</v>
      </c>
    </row>
    <row r="107" spans="7:12" x14ac:dyDescent="0.2">
      <c r="H107" s="162" t="s">
        <v>743</v>
      </c>
      <c r="J107" s="80">
        <f>-K91</f>
        <v>80000</v>
      </c>
    </row>
    <row r="108" spans="7:12" x14ac:dyDescent="0.2">
      <c r="H108" s="162" t="s">
        <v>746</v>
      </c>
      <c r="J108" s="80">
        <f>J107</f>
        <v>80000</v>
      </c>
    </row>
    <row r="110" spans="7:12" x14ac:dyDescent="0.2">
      <c r="G110" s="162" t="s">
        <v>747</v>
      </c>
    </row>
    <row r="115" spans="7:11" x14ac:dyDescent="0.2">
      <c r="G115" s="306" t="s">
        <v>749</v>
      </c>
      <c r="J115" s="307">
        <v>43465</v>
      </c>
      <c r="K115" s="307">
        <v>43830</v>
      </c>
    </row>
    <row r="116" spans="7:11" x14ac:dyDescent="0.2">
      <c r="G116" s="216" t="s">
        <v>311</v>
      </c>
      <c r="J116" s="297">
        <f>5%*340000</f>
        <v>17000</v>
      </c>
      <c r="K116" s="215">
        <f>395000*5%</f>
        <v>19750</v>
      </c>
    </row>
    <row r="117" spans="7:11" x14ac:dyDescent="0.2">
      <c r="G117" s="216" t="s">
        <v>56</v>
      </c>
      <c r="J117" s="297">
        <v>0</v>
      </c>
      <c r="K117" s="297">
        <v>0</v>
      </c>
    </row>
    <row r="118" spans="7:11" ht="34" x14ac:dyDescent="0.2">
      <c r="G118" s="300" t="s">
        <v>382</v>
      </c>
      <c r="H118" s="301"/>
      <c r="I118" s="302"/>
      <c r="J118" s="215">
        <f>J116-J117</f>
        <v>17000</v>
      </c>
      <c r="K118" s="215">
        <f>K116-K117</f>
        <v>19750</v>
      </c>
    </row>
    <row r="119" spans="7:11" ht="16" customHeight="1" x14ac:dyDescent="0.2">
      <c r="G119" s="216" t="s">
        <v>130</v>
      </c>
      <c r="J119" s="269">
        <v>0.35</v>
      </c>
      <c r="K119" s="269">
        <v>0.37</v>
      </c>
    </row>
    <row r="120" spans="7:11" x14ac:dyDescent="0.2">
      <c r="G120" s="410" t="s">
        <v>360</v>
      </c>
      <c r="H120" s="411"/>
      <c r="I120" s="412"/>
      <c r="J120" s="319">
        <f>J118*J119</f>
        <v>5950</v>
      </c>
      <c r="K120" s="319">
        <f>K118*K119</f>
        <v>7307.5</v>
      </c>
    </row>
    <row r="126" spans="7:11" x14ac:dyDescent="0.2">
      <c r="G126" s="162" t="s">
        <v>751</v>
      </c>
    </row>
    <row r="127" spans="7:11" x14ac:dyDescent="0.2">
      <c r="G127" s="162" t="s">
        <v>752</v>
      </c>
    </row>
    <row r="128" spans="7:11" x14ac:dyDescent="0.2">
      <c r="G128" s="162" t="s">
        <v>753</v>
      </c>
    </row>
    <row r="130" spans="7:11" x14ac:dyDescent="0.2">
      <c r="G130" s="162" t="s">
        <v>756</v>
      </c>
    </row>
    <row r="131" spans="7:11" x14ac:dyDescent="0.2">
      <c r="G131" s="162" t="s">
        <v>758</v>
      </c>
    </row>
    <row r="132" spans="7:11" x14ac:dyDescent="0.2">
      <c r="I132" s="157">
        <v>6000</v>
      </c>
      <c r="K132" s="96" t="s">
        <v>759</v>
      </c>
    </row>
    <row r="137" spans="7:11" x14ac:dyDescent="0.2">
      <c r="G137" s="162" t="s">
        <v>761</v>
      </c>
    </row>
    <row r="139" spans="7:11" x14ac:dyDescent="0.2">
      <c r="G139" s="162" t="s">
        <v>762</v>
      </c>
      <c r="I139" s="96">
        <v>100</v>
      </c>
    </row>
    <row r="142" spans="7:11" x14ac:dyDescent="0.2">
      <c r="H142" s="162" t="s">
        <v>763</v>
      </c>
      <c r="I142" s="96" t="s">
        <v>766</v>
      </c>
    </row>
    <row r="143" spans="7:11" x14ac:dyDescent="0.2">
      <c r="H143" s="162" t="s">
        <v>764</v>
      </c>
      <c r="I143" s="96" t="s">
        <v>767</v>
      </c>
    </row>
    <row r="144" spans="7:11" x14ac:dyDescent="0.2">
      <c r="H144" s="162">
        <v>90</v>
      </c>
      <c r="I144" s="96">
        <v>10</v>
      </c>
    </row>
    <row r="145" spans="7:13" x14ac:dyDescent="0.2">
      <c r="H145" s="162" t="s">
        <v>765</v>
      </c>
      <c r="I145" s="96" t="s">
        <v>765</v>
      </c>
    </row>
    <row r="146" spans="7:13" x14ac:dyDescent="0.2">
      <c r="I146" s="177">
        <f>L152</f>
        <v>39000</v>
      </c>
      <c r="K146" s="96" t="s">
        <v>778</v>
      </c>
    </row>
    <row r="147" spans="7:13" x14ac:dyDescent="0.2">
      <c r="I147" s="320" t="s">
        <v>788</v>
      </c>
      <c r="J147" s="320"/>
    </row>
    <row r="148" spans="7:13" x14ac:dyDescent="0.2">
      <c r="G148" s="321">
        <v>45</v>
      </c>
      <c r="H148" s="321">
        <v>45</v>
      </c>
    </row>
    <row r="149" spans="7:13" x14ac:dyDescent="0.2">
      <c r="G149" s="321" t="s">
        <v>765</v>
      </c>
      <c r="H149" s="321" t="s">
        <v>765</v>
      </c>
      <c r="L149" s="162" t="s">
        <v>779</v>
      </c>
    </row>
    <row r="150" spans="7:13" x14ac:dyDescent="0.2">
      <c r="G150" s="321">
        <v>500</v>
      </c>
      <c r="H150" s="321">
        <v>100</v>
      </c>
      <c r="K150" s="96" t="s">
        <v>783</v>
      </c>
      <c r="L150" s="162">
        <f>H162</f>
        <v>22500</v>
      </c>
      <c r="M150" s="96" t="s">
        <v>780</v>
      </c>
    </row>
    <row r="151" spans="7:13" x14ac:dyDescent="0.2">
      <c r="K151" s="96" t="s">
        <v>784</v>
      </c>
      <c r="L151" s="162">
        <f>I155</f>
        <v>4500</v>
      </c>
      <c r="M151" s="96" t="s">
        <v>781</v>
      </c>
    </row>
    <row r="152" spans="7:13" x14ac:dyDescent="0.2">
      <c r="K152" s="96" t="s">
        <v>785</v>
      </c>
      <c r="L152" s="322">
        <f>L153-L151-L150</f>
        <v>39000</v>
      </c>
      <c r="M152" s="96" t="s">
        <v>782</v>
      </c>
    </row>
    <row r="153" spans="7:13" x14ac:dyDescent="0.2">
      <c r="G153" s="162" t="s">
        <v>770</v>
      </c>
      <c r="H153" s="162" t="s">
        <v>768</v>
      </c>
      <c r="K153" s="96" t="s">
        <v>786</v>
      </c>
      <c r="L153" s="299">
        <v>66000</v>
      </c>
      <c r="M153" s="96" t="s">
        <v>787</v>
      </c>
    </row>
    <row r="154" spans="7:13" ht="17" thickBot="1" x14ac:dyDescent="0.25">
      <c r="G154" s="162" t="s">
        <v>771</v>
      </c>
      <c r="H154" s="162" t="s">
        <v>769</v>
      </c>
    </row>
    <row r="155" spans="7:13" x14ac:dyDescent="0.2">
      <c r="G155" s="162" t="s">
        <v>772</v>
      </c>
      <c r="H155" s="162" t="s">
        <v>776</v>
      </c>
      <c r="I155" s="96">
        <f>H148*H150</f>
        <v>4500</v>
      </c>
      <c r="K155" s="202" t="s">
        <v>789</v>
      </c>
      <c r="L155" s="289"/>
    </row>
    <row r="156" spans="7:13" x14ac:dyDescent="0.2">
      <c r="G156" s="162" t="s">
        <v>773</v>
      </c>
      <c r="K156" s="205" t="s">
        <v>790</v>
      </c>
      <c r="L156" s="323">
        <f>I146</f>
        <v>39000</v>
      </c>
    </row>
    <row r="157" spans="7:13" x14ac:dyDescent="0.2">
      <c r="K157" s="205" t="s">
        <v>791</v>
      </c>
      <c r="L157" s="291">
        <f>G160</f>
        <v>13500</v>
      </c>
    </row>
    <row r="158" spans="7:13" ht="17" thickBot="1" x14ac:dyDescent="0.25">
      <c r="K158" s="207" t="s">
        <v>792</v>
      </c>
      <c r="L158" s="324">
        <f>L156+L157</f>
        <v>52500</v>
      </c>
    </row>
    <row r="159" spans="7:13" x14ac:dyDescent="0.2">
      <c r="G159" s="325" t="s">
        <v>774</v>
      </c>
      <c r="H159" s="325"/>
    </row>
    <row r="160" spans="7:13" x14ac:dyDescent="0.2">
      <c r="G160" s="325">
        <f>300*45</f>
        <v>13500</v>
      </c>
      <c r="H160" s="325" t="s">
        <v>775</v>
      </c>
    </row>
    <row r="162" spans="7:8" x14ac:dyDescent="0.2">
      <c r="G162" s="162" t="s">
        <v>777</v>
      </c>
      <c r="H162" s="162">
        <f>G148*G150</f>
        <v>22500</v>
      </c>
    </row>
    <row r="165" spans="7:8" x14ac:dyDescent="0.2">
      <c r="G165" s="162" t="s">
        <v>794</v>
      </c>
    </row>
    <row r="166" spans="7:8" x14ac:dyDescent="0.2">
      <c r="G166" s="162" t="s">
        <v>795</v>
      </c>
    </row>
    <row r="167" spans="7:8" x14ac:dyDescent="0.2">
      <c r="G167" s="162" t="s">
        <v>796</v>
      </c>
    </row>
    <row r="168" spans="7:8" x14ac:dyDescent="0.2">
      <c r="G168" s="162" t="s">
        <v>797</v>
      </c>
    </row>
    <row r="171" spans="7:8" x14ac:dyDescent="0.2">
      <c r="G171" s="162" t="s">
        <v>800</v>
      </c>
    </row>
    <row r="172" spans="7:8" x14ac:dyDescent="0.2">
      <c r="G172" s="162" t="s">
        <v>801</v>
      </c>
    </row>
  </sheetData>
  <mergeCells count="5">
    <mergeCell ref="G93:I93"/>
    <mergeCell ref="G95:I95"/>
    <mergeCell ref="G120:I120"/>
    <mergeCell ref="Q23:R23"/>
    <mergeCell ref="S23:T23"/>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A01B92-0547-F046-BD88-30E9655B3D7F}">
  <dimension ref="A1:I108"/>
  <sheetViews>
    <sheetView rightToLeft="1" zoomScale="213" workbookViewId="0">
      <selection activeCell="A67" sqref="A67:F72"/>
    </sheetView>
  </sheetViews>
  <sheetFormatPr baseColWidth="10" defaultRowHeight="16" x14ac:dyDescent="0.2"/>
  <cols>
    <col min="1" max="16384" width="10.83203125" style="1"/>
  </cols>
  <sheetData>
    <row r="1" spans="1:8" x14ac:dyDescent="0.2">
      <c r="A1" s="6" t="s">
        <v>611</v>
      </c>
      <c r="B1" s="6"/>
      <c r="C1" s="6"/>
      <c r="D1" s="6"/>
      <c r="E1" s="6"/>
      <c r="F1" s="6"/>
      <c r="G1" s="34">
        <v>45623</v>
      </c>
      <c r="H1" s="6" t="s">
        <v>7</v>
      </c>
    </row>
    <row r="3" spans="1:8" x14ac:dyDescent="0.2">
      <c r="A3" s="1" t="s">
        <v>207</v>
      </c>
    </row>
    <row r="4" spans="1:8" x14ac:dyDescent="0.2">
      <c r="A4" s="1" t="s">
        <v>612</v>
      </c>
    </row>
    <row r="5" spans="1:8" x14ac:dyDescent="0.2">
      <c r="A5" s="1" t="s">
        <v>613</v>
      </c>
    </row>
    <row r="6" spans="1:8" x14ac:dyDescent="0.2">
      <c r="A6" s="1" t="s">
        <v>614</v>
      </c>
    </row>
    <row r="8" spans="1:8" x14ac:dyDescent="0.2">
      <c r="A8" s="71" t="s">
        <v>615</v>
      </c>
      <c r="B8" s="71"/>
      <c r="C8" s="71"/>
      <c r="D8" s="71"/>
      <c r="E8" s="71"/>
      <c r="F8" s="71"/>
      <c r="G8" s="71"/>
      <c r="H8" s="71"/>
    </row>
    <row r="9" spans="1:8" x14ac:dyDescent="0.2">
      <c r="A9" s="1" t="s">
        <v>616</v>
      </c>
    </row>
    <row r="10" spans="1:8" x14ac:dyDescent="0.2">
      <c r="A10" s="1" t="s">
        <v>617</v>
      </c>
    </row>
    <row r="11" spans="1:8" x14ac:dyDescent="0.2">
      <c r="A11" s="1" t="s">
        <v>618</v>
      </c>
    </row>
    <row r="13" spans="1:8" x14ac:dyDescent="0.2">
      <c r="A13" s="71" t="s">
        <v>687</v>
      </c>
      <c r="B13" s="72"/>
      <c r="C13" s="72"/>
      <c r="D13" s="72"/>
      <c r="E13" s="72"/>
      <c r="F13" s="72"/>
      <c r="G13" s="72"/>
      <c r="H13" s="72"/>
    </row>
    <row r="14" spans="1:8" x14ac:dyDescent="0.2">
      <c r="A14" s="1" t="s">
        <v>619</v>
      </c>
    </row>
    <row r="15" spans="1:8" x14ac:dyDescent="0.2">
      <c r="A15" s="1" t="s">
        <v>620</v>
      </c>
    </row>
    <row r="16" spans="1:8" x14ac:dyDescent="0.2">
      <c r="A16" s="1" t="s">
        <v>622</v>
      </c>
    </row>
    <row r="17" spans="1:8" x14ac:dyDescent="0.2">
      <c r="A17" s="1" t="s">
        <v>621</v>
      </c>
    </row>
    <row r="18" spans="1:8" x14ac:dyDescent="0.2">
      <c r="A18" s="1" t="s">
        <v>623</v>
      </c>
    </row>
    <row r="19" spans="1:8" x14ac:dyDescent="0.2">
      <c r="A19" s="1" t="s">
        <v>624</v>
      </c>
    </row>
    <row r="20" spans="1:8" x14ac:dyDescent="0.2">
      <c r="A20" s="1" t="s">
        <v>625</v>
      </c>
    </row>
    <row r="21" spans="1:8" x14ac:dyDescent="0.2">
      <c r="A21" s="1" t="s">
        <v>626</v>
      </c>
    </row>
    <row r="22" spans="1:8" x14ac:dyDescent="0.2">
      <c r="A22" s="1" t="s">
        <v>629</v>
      </c>
    </row>
    <row r="23" spans="1:8" x14ac:dyDescent="0.2">
      <c r="A23" s="1" t="s">
        <v>627</v>
      </c>
    </row>
    <row r="24" spans="1:8" x14ac:dyDescent="0.2">
      <c r="A24" s="1" t="s">
        <v>634</v>
      </c>
    </row>
    <row r="25" spans="1:8" x14ac:dyDescent="0.2">
      <c r="A25" s="1" t="s">
        <v>628</v>
      </c>
    </row>
    <row r="27" spans="1:8" x14ac:dyDescent="0.2">
      <c r="A27" s="71" t="s">
        <v>190</v>
      </c>
      <c r="B27" s="72"/>
      <c r="C27" s="72"/>
      <c r="D27" s="72"/>
      <c r="E27" s="72"/>
      <c r="F27" s="72"/>
      <c r="G27" s="72"/>
      <c r="H27" s="72"/>
    </row>
    <row r="28" spans="1:8" x14ac:dyDescent="0.2">
      <c r="A28" s="3"/>
    </row>
    <row r="29" spans="1:8" x14ac:dyDescent="0.2">
      <c r="C29" s="39">
        <v>44927</v>
      </c>
      <c r="D29" s="39">
        <v>45291</v>
      </c>
      <c r="F29" s="16" t="s">
        <v>630</v>
      </c>
      <c r="G29" s="16"/>
    </row>
    <row r="30" spans="1:8" x14ac:dyDescent="0.2">
      <c r="A30" s="1" t="s">
        <v>57</v>
      </c>
      <c r="C30" s="80">
        <v>100000</v>
      </c>
      <c r="D30" s="80">
        <v>150000</v>
      </c>
      <c r="F30" s="1" t="s">
        <v>63</v>
      </c>
      <c r="H30" s="10">
        <v>800000</v>
      </c>
    </row>
    <row r="31" spans="1:8" x14ac:dyDescent="0.2">
      <c r="A31" s="1" t="s">
        <v>56</v>
      </c>
      <c r="C31" s="80">
        <f>C30</f>
        <v>100000</v>
      </c>
      <c r="D31" s="80">
        <f>C31*9/10</f>
        <v>90000</v>
      </c>
      <c r="F31" s="1" t="s">
        <v>90</v>
      </c>
      <c r="H31" s="42">
        <v>0.23</v>
      </c>
    </row>
    <row r="32" spans="1:8" x14ac:dyDescent="0.2">
      <c r="A32" s="1" t="s">
        <v>58</v>
      </c>
      <c r="C32" s="81">
        <f>C30-C31</f>
        <v>0</v>
      </c>
      <c r="D32" s="81">
        <f>D30-D31</f>
        <v>60000</v>
      </c>
      <c r="F32" s="1" t="s">
        <v>167</v>
      </c>
      <c r="H32" s="41">
        <f>H30*H31</f>
        <v>184000</v>
      </c>
    </row>
    <row r="33" spans="1:8" x14ac:dyDescent="0.2">
      <c r="A33" s="1" t="s">
        <v>90</v>
      </c>
      <c r="C33" s="82">
        <v>0.23</v>
      </c>
      <c r="D33" s="82">
        <v>0.23</v>
      </c>
    </row>
    <row r="34" spans="1:8" x14ac:dyDescent="0.2">
      <c r="A34" s="1" t="s">
        <v>807</v>
      </c>
      <c r="C34" s="81">
        <f>C32*C33</f>
        <v>0</v>
      </c>
      <c r="D34" s="81">
        <f>D32*D33</f>
        <v>13800</v>
      </c>
      <c r="F34" s="1" t="s">
        <v>817</v>
      </c>
    </row>
    <row r="35" spans="1:8" x14ac:dyDescent="0.2">
      <c r="F35" s="1" t="s">
        <v>818</v>
      </c>
    </row>
    <row r="36" spans="1:8" x14ac:dyDescent="0.2">
      <c r="A36" s="74" t="s">
        <v>652</v>
      </c>
      <c r="F36" s="1" t="s">
        <v>819</v>
      </c>
    </row>
    <row r="37" spans="1:8" x14ac:dyDescent="0.2">
      <c r="A37" s="1" t="s">
        <v>121</v>
      </c>
      <c r="C37" s="10">
        <f>D30</f>
        <v>150000</v>
      </c>
    </row>
    <row r="38" spans="1:8" x14ac:dyDescent="0.2">
      <c r="A38" s="1" t="s">
        <v>653</v>
      </c>
      <c r="C38" s="10">
        <f>D31</f>
        <v>90000</v>
      </c>
    </row>
    <row r="39" spans="1:8" x14ac:dyDescent="0.2">
      <c r="A39" s="1" t="s">
        <v>654</v>
      </c>
      <c r="C39" s="41">
        <f>C37-C38</f>
        <v>60000</v>
      </c>
    </row>
    <row r="41" spans="1:8" x14ac:dyDescent="0.2">
      <c r="A41" s="83" t="s">
        <v>657</v>
      </c>
      <c r="B41" s="84"/>
      <c r="C41" s="84"/>
      <c r="D41" s="84"/>
      <c r="F41" s="83" t="s">
        <v>631</v>
      </c>
      <c r="G41" s="84"/>
      <c r="H41" s="84"/>
    </row>
    <row r="42" spans="1:8" x14ac:dyDescent="0.2">
      <c r="A42" s="84" t="s">
        <v>655</v>
      </c>
      <c r="B42" s="84"/>
      <c r="C42" s="85">
        <f>C39</f>
        <v>60000</v>
      </c>
      <c r="D42" s="84"/>
      <c r="F42" s="84" t="s">
        <v>632</v>
      </c>
      <c r="G42" s="84"/>
      <c r="H42" s="85">
        <f>D34</f>
        <v>13800</v>
      </c>
    </row>
    <row r="43" spans="1:8" x14ac:dyDescent="0.2">
      <c r="A43" s="84" t="s">
        <v>656</v>
      </c>
      <c r="B43" s="84"/>
      <c r="C43" s="85">
        <f>C42</f>
        <v>60000</v>
      </c>
      <c r="D43" s="84"/>
      <c r="F43" s="84" t="s">
        <v>633</v>
      </c>
      <c r="G43" s="84"/>
      <c r="H43" s="85">
        <f>H42</f>
        <v>13800</v>
      </c>
    </row>
    <row r="44" spans="1:8" x14ac:dyDescent="0.2">
      <c r="A44" s="84"/>
      <c r="B44" s="84"/>
      <c r="C44" s="85"/>
      <c r="D44" s="84"/>
    </row>
    <row r="45" spans="1:8" x14ac:dyDescent="0.2">
      <c r="A45" s="84"/>
      <c r="B45" s="84"/>
      <c r="C45" s="85"/>
      <c r="D45" s="84"/>
      <c r="F45" s="86" t="s">
        <v>635</v>
      </c>
      <c r="G45" s="87"/>
      <c r="H45" s="88"/>
    </row>
    <row r="46" spans="1:8" x14ac:dyDescent="0.2">
      <c r="A46" s="84"/>
      <c r="B46" s="84"/>
      <c r="C46" s="85"/>
      <c r="D46" s="84"/>
      <c r="F46" s="89" t="s">
        <v>636</v>
      </c>
      <c r="H46" s="90"/>
    </row>
    <row r="47" spans="1:8" x14ac:dyDescent="0.2">
      <c r="F47" s="89" t="s">
        <v>637</v>
      </c>
      <c r="H47" s="90"/>
    </row>
    <row r="48" spans="1:8" x14ac:dyDescent="0.2">
      <c r="F48" s="91" t="s">
        <v>638</v>
      </c>
      <c r="G48" s="16"/>
      <c r="H48" s="92"/>
    </row>
    <row r="50" spans="1:8" x14ac:dyDescent="0.2">
      <c r="A50" s="71" t="s">
        <v>639</v>
      </c>
      <c r="B50" s="72"/>
      <c r="C50" s="72"/>
      <c r="D50" s="72"/>
      <c r="E50" s="72"/>
      <c r="F50" s="72"/>
      <c r="G50" s="72"/>
      <c r="H50" s="72"/>
    </row>
    <row r="51" spans="1:8" x14ac:dyDescent="0.2">
      <c r="A51" s="1" t="s">
        <v>640</v>
      </c>
    </row>
    <row r="52" spans="1:8" x14ac:dyDescent="0.2">
      <c r="A52" s="1" t="s">
        <v>641</v>
      </c>
    </row>
    <row r="53" spans="1:8" x14ac:dyDescent="0.2">
      <c r="A53" s="1" t="s">
        <v>642</v>
      </c>
    </row>
    <row r="54" spans="1:8" x14ac:dyDescent="0.2">
      <c r="A54" s="1" t="s">
        <v>643</v>
      </c>
    </row>
    <row r="55" spans="1:8" x14ac:dyDescent="0.2">
      <c r="A55" s="1" t="s">
        <v>644</v>
      </c>
    </row>
    <row r="56" spans="1:8" x14ac:dyDescent="0.2">
      <c r="A56" s="1" t="s">
        <v>646</v>
      </c>
    </row>
    <row r="57" spans="1:8" x14ac:dyDescent="0.2">
      <c r="A57" s="1" t="s">
        <v>645</v>
      </c>
    </row>
    <row r="58" spans="1:8" x14ac:dyDescent="0.2">
      <c r="A58" s="1" t="s">
        <v>647</v>
      </c>
    </row>
    <row r="59" spans="1:8" x14ac:dyDescent="0.2">
      <c r="A59" s="1" t="s">
        <v>649</v>
      </c>
    </row>
    <row r="60" spans="1:8" x14ac:dyDescent="0.2">
      <c r="A60" s="1" t="s">
        <v>648</v>
      </c>
    </row>
    <row r="61" spans="1:8" x14ac:dyDescent="0.2">
      <c r="A61" s="73" t="s">
        <v>627</v>
      </c>
    </row>
    <row r="62" spans="1:8" x14ac:dyDescent="0.2">
      <c r="A62" s="73" t="s">
        <v>634</v>
      </c>
    </row>
    <row r="63" spans="1:8" x14ac:dyDescent="0.2">
      <c r="A63" s="73" t="s">
        <v>628</v>
      </c>
    </row>
    <row r="65" spans="1:9" x14ac:dyDescent="0.2">
      <c r="A65" s="71" t="s">
        <v>206</v>
      </c>
      <c r="B65" s="72"/>
      <c r="C65" s="72"/>
      <c r="D65" s="72"/>
      <c r="E65" s="72"/>
      <c r="F65" s="72"/>
      <c r="G65" s="72"/>
      <c r="H65" s="72"/>
    </row>
    <row r="67" spans="1:9" x14ac:dyDescent="0.2">
      <c r="D67" s="39">
        <v>44927</v>
      </c>
      <c r="E67" s="39">
        <v>45291</v>
      </c>
      <c r="F67" s="94">
        <v>45657</v>
      </c>
    </row>
    <row r="68" spans="1:9" x14ac:dyDescent="0.2">
      <c r="A68" s="1" t="s">
        <v>57</v>
      </c>
      <c r="D68" s="10">
        <v>200000</v>
      </c>
      <c r="E68" s="10">
        <f>120000</f>
        <v>120000</v>
      </c>
      <c r="F68" s="80">
        <v>180000</v>
      </c>
    </row>
    <row r="69" spans="1:9" x14ac:dyDescent="0.2">
      <c r="A69" s="1" t="s">
        <v>56</v>
      </c>
      <c r="D69" s="10">
        <f>D68</f>
        <v>200000</v>
      </c>
      <c r="E69" s="10">
        <f>D69*4/5</f>
        <v>160000</v>
      </c>
      <c r="F69" s="80">
        <f>D69*3/5</f>
        <v>120000</v>
      </c>
    </row>
    <row r="70" spans="1:9" x14ac:dyDescent="0.2">
      <c r="A70" s="1" t="s">
        <v>650</v>
      </c>
      <c r="D70" s="41">
        <f>D68-D69</f>
        <v>0</v>
      </c>
      <c r="E70" s="98">
        <f>E68-E69</f>
        <v>-40000</v>
      </c>
      <c r="F70" s="99">
        <f>F68-F69</f>
        <v>60000</v>
      </c>
    </row>
    <row r="71" spans="1:9" x14ac:dyDescent="0.2">
      <c r="A71" s="1" t="s">
        <v>90</v>
      </c>
      <c r="D71" s="42">
        <v>0.23</v>
      </c>
      <c r="E71" s="42">
        <v>0.23</v>
      </c>
      <c r="F71" s="82">
        <v>0.23</v>
      </c>
    </row>
    <row r="72" spans="1:9" x14ac:dyDescent="0.2">
      <c r="A72" s="1" t="s">
        <v>651</v>
      </c>
      <c r="D72" s="41">
        <f>D70*D71</f>
        <v>0</v>
      </c>
      <c r="E72" s="41">
        <f>-E71*E70</f>
        <v>9200</v>
      </c>
      <c r="F72" s="81">
        <f>-F71*F70</f>
        <v>-13800</v>
      </c>
    </row>
    <row r="74" spans="1:9" x14ac:dyDescent="0.2">
      <c r="A74" s="16" t="s">
        <v>630</v>
      </c>
      <c r="B74" s="16"/>
      <c r="E74" s="95" t="s">
        <v>671</v>
      </c>
      <c r="F74" s="96"/>
      <c r="G74" s="96"/>
      <c r="H74" s="93"/>
    </row>
    <row r="75" spans="1:9" x14ac:dyDescent="0.2">
      <c r="A75" s="1" t="s">
        <v>63</v>
      </c>
      <c r="C75" s="10">
        <v>400000</v>
      </c>
      <c r="E75" s="96" t="s">
        <v>672</v>
      </c>
      <c r="F75" s="96"/>
      <c r="G75" s="80">
        <f>E68*3/4</f>
        <v>90000</v>
      </c>
      <c r="H75" s="93"/>
      <c r="I75" s="1" t="s">
        <v>821</v>
      </c>
    </row>
    <row r="76" spans="1:9" x14ac:dyDescent="0.2">
      <c r="A76" s="1" t="s">
        <v>820</v>
      </c>
      <c r="C76" s="10">
        <f>-E70</f>
        <v>40000</v>
      </c>
      <c r="E76" s="96" t="s">
        <v>674</v>
      </c>
      <c r="F76" s="96"/>
      <c r="G76" s="80">
        <f>F68</f>
        <v>180000</v>
      </c>
      <c r="H76" s="93"/>
    </row>
    <row r="77" spans="1:9" x14ac:dyDescent="0.2">
      <c r="A77" s="1" t="s">
        <v>514</v>
      </c>
      <c r="C77" s="41">
        <f>C75+C76</f>
        <v>440000</v>
      </c>
      <c r="E77" s="1" t="s">
        <v>822</v>
      </c>
      <c r="G77" s="41">
        <f>G76-G75</f>
        <v>90000</v>
      </c>
      <c r="H77" s="93"/>
      <c r="I77" s="1" t="s">
        <v>823</v>
      </c>
    </row>
    <row r="78" spans="1:9" x14ac:dyDescent="0.2">
      <c r="H78" s="93"/>
    </row>
    <row r="79" spans="1:9" x14ac:dyDescent="0.2">
      <c r="A79" s="1" t="s">
        <v>90</v>
      </c>
      <c r="C79" s="42">
        <v>0.23</v>
      </c>
      <c r="E79" s="96" t="s">
        <v>673</v>
      </c>
      <c r="F79" s="96"/>
      <c r="G79" s="80">
        <f>D68*3/5</f>
        <v>120000</v>
      </c>
      <c r="H79" s="93"/>
      <c r="I79" s="1" t="s">
        <v>824</v>
      </c>
    </row>
    <row r="80" spans="1:9" x14ac:dyDescent="0.2">
      <c r="A80" s="1" t="s">
        <v>167</v>
      </c>
      <c r="C80" s="41">
        <f>C77*C79</f>
        <v>101200</v>
      </c>
      <c r="E80" s="96"/>
      <c r="F80" s="96"/>
      <c r="G80" s="96"/>
    </row>
    <row r="81" spans="1:9" x14ac:dyDescent="0.2">
      <c r="E81" s="96"/>
      <c r="F81" s="96"/>
      <c r="G81" s="96"/>
    </row>
    <row r="82" spans="1:9" x14ac:dyDescent="0.2">
      <c r="A82" s="74" t="s">
        <v>660</v>
      </c>
      <c r="E82" s="96"/>
      <c r="F82" s="96"/>
      <c r="G82" s="96"/>
    </row>
    <row r="83" spans="1:9" x14ac:dyDescent="0.2">
      <c r="A83" s="1" t="s">
        <v>500</v>
      </c>
      <c r="C83" s="10">
        <f>E72</f>
        <v>9200</v>
      </c>
      <c r="E83" s="95" t="s">
        <v>677</v>
      </c>
      <c r="F83" s="96"/>
      <c r="G83" s="96"/>
      <c r="H83" s="96"/>
    </row>
    <row r="84" spans="1:9" x14ac:dyDescent="0.2">
      <c r="A84" s="1" t="s">
        <v>504</v>
      </c>
      <c r="C84" s="10">
        <f>C83</f>
        <v>9200</v>
      </c>
      <c r="E84" s="96" t="s">
        <v>675</v>
      </c>
      <c r="F84" s="96"/>
      <c r="G84" s="97">
        <f>G79-G75</f>
        <v>30000</v>
      </c>
      <c r="H84" s="96" t="s">
        <v>680</v>
      </c>
    </row>
    <row r="85" spans="1:9" x14ac:dyDescent="0.2">
      <c r="E85" s="96" t="s">
        <v>676</v>
      </c>
      <c r="F85" s="96"/>
      <c r="G85" s="85">
        <f>G76-G79</f>
        <v>60000</v>
      </c>
      <c r="H85" s="96" t="s">
        <v>681</v>
      </c>
    </row>
    <row r="86" spans="1:9" x14ac:dyDescent="0.2">
      <c r="A86" s="74" t="s">
        <v>661</v>
      </c>
      <c r="E86" s="96" t="s">
        <v>678</v>
      </c>
      <c r="F86" s="96"/>
      <c r="G86" s="80">
        <f>G87-G85-G84</f>
        <v>10000</v>
      </c>
      <c r="H86" s="96" t="s">
        <v>825</v>
      </c>
    </row>
    <row r="87" spans="1:9" x14ac:dyDescent="0.2">
      <c r="A87" s="1" t="s">
        <v>167</v>
      </c>
      <c r="C87" s="10">
        <f>C80</f>
        <v>101200</v>
      </c>
      <c r="E87" s="96" t="s">
        <v>679</v>
      </c>
      <c r="F87" s="96"/>
      <c r="G87" s="99">
        <f>F70-E70</f>
        <v>100000</v>
      </c>
      <c r="H87" s="96"/>
    </row>
    <row r="88" spans="1:9" x14ac:dyDescent="0.2">
      <c r="A88" s="1" t="s">
        <v>658</v>
      </c>
      <c r="C88" s="10">
        <f>-C84</f>
        <v>-9200</v>
      </c>
    </row>
    <row r="89" spans="1:9" x14ac:dyDescent="0.2">
      <c r="A89" s="1" t="s">
        <v>659</v>
      </c>
      <c r="C89" s="41">
        <f>C87+C88</f>
        <v>92000</v>
      </c>
      <c r="E89" s="74" t="s">
        <v>682</v>
      </c>
    </row>
    <row r="90" spans="1:9" x14ac:dyDescent="0.2">
      <c r="E90" s="1" t="s">
        <v>683</v>
      </c>
      <c r="G90" s="10">
        <f>(G86+G84)*23%</f>
        <v>9200</v>
      </c>
      <c r="I90" s="1" t="s">
        <v>826</v>
      </c>
    </row>
    <row r="91" spans="1:9" x14ac:dyDescent="0.2">
      <c r="A91" s="1" t="s">
        <v>662</v>
      </c>
      <c r="E91" s="1" t="s">
        <v>684</v>
      </c>
      <c r="G91" s="10">
        <f>G90</f>
        <v>9200</v>
      </c>
    </row>
    <row r="92" spans="1:9" x14ac:dyDescent="0.2">
      <c r="A92" s="1" t="s">
        <v>663</v>
      </c>
    </row>
    <row r="93" spans="1:9" x14ac:dyDescent="0.2">
      <c r="A93" s="1" t="s">
        <v>664</v>
      </c>
      <c r="E93" s="84" t="s">
        <v>632</v>
      </c>
      <c r="F93" s="84"/>
      <c r="G93" s="85">
        <f>23%*G85</f>
        <v>13800</v>
      </c>
      <c r="I93" s="1" t="s">
        <v>827</v>
      </c>
    </row>
    <row r="94" spans="1:9" x14ac:dyDescent="0.2">
      <c r="A94" s="1" t="s">
        <v>665</v>
      </c>
      <c r="E94" s="84" t="s">
        <v>633</v>
      </c>
      <c r="F94" s="84"/>
      <c r="G94" s="85">
        <f>G93</f>
        <v>13800</v>
      </c>
    </row>
    <row r="95" spans="1:9" x14ac:dyDescent="0.2">
      <c r="A95" s="1" t="s">
        <v>666</v>
      </c>
    </row>
    <row r="96" spans="1:9" x14ac:dyDescent="0.2">
      <c r="A96" s="1" t="s">
        <v>667</v>
      </c>
      <c r="E96" s="16" t="s">
        <v>670</v>
      </c>
      <c r="F96" s="16"/>
    </row>
    <row r="97" spans="1:7" x14ac:dyDescent="0.2">
      <c r="A97" s="1" t="s">
        <v>668</v>
      </c>
      <c r="E97" s="1" t="s">
        <v>63</v>
      </c>
      <c r="G97" s="10">
        <v>500000</v>
      </c>
    </row>
    <row r="98" spans="1:7" x14ac:dyDescent="0.2">
      <c r="A98" s="1" t="s">
        <v>669</v>
      </c>
      <c r="E98" s="1" t="s">
        <v>828</v>
      </c>
      <c r="G98" s="97">
        <f>-G84</f>
        <v>-30000</v>
      </c>
    </row>
    <row r="99" spans="1:7" x14ac:dyDescent="0.2">
      <c r="E99" s="1" t="s">
        <v>829</v>
      </c>
      <c r="G99" s="80">
        <f>-G86</f>
        <v>-10000</v>
      </c>
    </row>
    <row r="100" spans="1:7" x14ac:dyDescent="0.2">
      <c r="E100" s="1" t="s">
        <v>514</v>
      </c>
      <c r="G100" s="41">
        <f>SUM(G97:G99)</f>
        <v>460000</v>
      </c>
    </row>
    <row r="101" spans="1:7" x14ac:dyDescent="0.2">
      <c r="G101" s="80"/>
    </row>
    <row r="102" spans="1:7" x14ac:dyDescent="0.2">
      <c r="E102" s="1" t="s">
        <v>90</v>
      </c>
      <c r="G102" s="42">
        <v>0.23</v>
      </c>
    </row>
    <row r="103" spans="1:7" x14ac:dyDescent="0.2">
      <c r="E103" s="1" t="s">
        <v>167</v>
      </c>
      <c r="G103" s="41">
        <f>G100*G102</f>
        <v>105800</v>
      </c>
    </row>
    <row r="105" spans="1:7" x14ac:dyDescent="0.2">
      <c r="E105" s="74" t="s">
        <v>685</v>
      </c>
    </row>
    <row r="106" spans="1:7" x14ac:dyDescent="0.2">
      <c r="E106" s="1" t="s">
        <v>167</v>
      </c>
      <c r="G106" s="10">
        <f>G103</f>
        <v>105800</v>
      </c>
    </row>
    <row r="107" spans="1:7" x14ac:dyDescent="0.2">
      <c r="E107" s="1" t="s">
        <v>686</v>
      </c>
      <c r="G107" s="10">
        <f>G91</f>
        <v>9200</v>
      </c>
    </row>
    <row r="108" spans="1:7" x14ac:dyDescent="0.2">
      <c r="E108" s="1" t="s">
        <v>659</v>
      </c>
      <c r="G108" s="41">
        <f>G106+G107</f>
        <v>115000</v>
      </c>
    </row>
  </sheetData>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D35A48-C384-FE40-A7B8-068E90AAAAEC}">
  <dimension ref="A1:N228"/>
  <sheetViews>
    <sheetView showGridLines="0" rightToLeft="1" zoomScale="249" workbookViewId="0">
      <selection activeCell="D228" sqref="D228"/>
    </sheetView>
  </sheetViews>
  <sheetFormatPr baseColWidth="10" defaultRowHeight="16" x14ac:dyDescent="0.2"/>
  <sheetData>
    <row r="1" spans="1:8" s="1" customFormat="1" x14ac:dyDescent="0.2">
      <c r="A1" s="6" t="s">
        <v>2482</v>
      </c>
      <c r="B1" s="6"/>
      <c r="C1" s="6"/>
      <c r="D1" s="6"/>
      <c r="E1" s="6"/>
      <c r="F1" s="6"/>
      <c r="G1" s="34">
        <v>45630</v>
      </c>
      <c r="H1" s="6" t="s">
        <v>7</v>
      </c>
    </row>
    <row r="3" spans="1:8" s="1" customFormat="1" x14ac:dyDescent="0.2">
      <c r="A3" s="71" t="s">
        <v>2484</v>
      </c>
      <c r="B3" s="72"/>
      <c r="C3" s="72"/>
      <c r="D3" s="72"/>
      <c r="E3" s="72"/>
      <c r="F3" s="72"/>
      <c r="G3" s="72"/>
      <c r="H3" s="72"/>
    </row>
    <row r="4" spans="1:8" s="1" customFormat="1" x14ac:dyDescent="0.2">
      <c r="A4" s="1" t="s">
        <v>2487</v>
      </c>
    </row>
    <row r="5" spans="1:8" s="1" customFormat="1" x14ac:dyDescent="0.2">
      <c r="A5" s="1" t="s">
        <v>2490</v>
      </c>
    </row>
    <row r="6" spans="1:8" s="1" customFormat="1" x14ac:dyDescent="0.2"/>
    <row r="7" spans="1:8" s="1" customFormat="1" x14ac:dyDescent="0.2">
      <c r="A7" s="1" t="s">
        <v>2488</v>
      </c>
    </row>
    <row r="8" spans="1:8" s="1" customFormat="1" x14ac:dyDescent="0.2">
      <c r="A8" s="1" t="s">
        <v>2489</v>
      </c>
    </row>
    <row r="9" spans="1:8" s="1" customFormat="1" x14ac:dyDescent="0.2"/>
    <row r="10" spans="1:8" s="1" customFormat="1" x14ac:dyDescent="0.2"/>
    <row r="11" spans="1:8" s="1" customFormat="1" x14ac:dyDescent="0.2"/>
    <row r="12" spans="1:8" s="1" customFormat="1" x14ac:dyDescent="0.2"/>
    <row r="13" spans="1:8" s="1" customFormat="1" x14ac:dyDescent="0.2"/>
    <row r="14" spans="1:8" s="1" customFormat="1" x14ac:dyDescent="0.2"/>
    <row r="15" spans="1:8" s="1" customFormat="1" x14ac:dyDescent="0.2"/>
    <row r="16" spans="1:8" s="1" customFormat="1" x14ac:dyDescent="0.2"/>
    <row r="17" spans="1:1" s="1" customFormat="1" x14ac:dyDescent="0.2"/>
    <row r="18" spans="1:1" s="1" customFormat="1" x14ac:dyDescent="0.2"/>
    <row r="19" spans="1:1" s="1" customFormat="1" x14ac:dyDescent="0.2"/>
    <row r="20" spans="1:1" s="1" customFormat="1" x14ac:dyDescent="0.2"/>
    <row r="21" spans="1:1" s="1" customFormat="1" x14ac:dyDescent="0.2"/>
    <row r="22" spans="1:1" s="1" customFormat="1" x14ac:dyDescent="0.2"/>
    <row r="23" spans="1:1" s="1" customFormat="1" x14ac:dyDescent="0.2"/>
    <row r="24" spans="1:1" s="1" customFormat="1" x14ac:dyDescent="0.2"/>
    <row r="25" spans="1:1" s="1" customFormat="1" x14ac:dyDescent="0.2"/>
    <row r="26" spans="1:1" s="1" customFormat="1" x14ac:dyDescent="0.2"/>
    <row r="27" spans="1:1" s="1" customFormat="1" x14ac:dyDescent="0.2"/>
    <row r="28" spans="1:1" s="1" customFormat="1" x14ac:dyDescent="0.2"/>
    <row r="29" spans="1:1" s="1" customFormat="1" x14ac:dyDescent="0.2"/>
    <row r="30" spans="1:1" s="1" customFormat="1" x14ac:dyDescent="0.2">
      <c r="A30" s="1" t="s">
        <v>2485</v>
      </c>
    </row>
    <row r="31" spans="1:1" s="1" customFormat="1" x14ac:dyDescent="0.2">
      <c r="A31" s="1" t="s">
        <v>2491</v>
      </c>
    </row>
    <row r="32" spans="1:1" s="1" customFormat="1" x14ac:dyDescent="0.2"/>
    <row r="33" spans="1:4" s="1" customFormat="1" x14ac:dyDescent="0.2">
      <c r="A33" s="1" t="s">
        <v>2486</v>
      </c>
    </row>
    <row r="34" spans="1:4" s="1" customFormat="1" x14ac:dyDescent="0.2"/>
    <row r="35" spans="1:4" s="1" customFormat="1" x14ac:dyDescent="0.2">
      <c r="A35" s="1" t="s">
        <v>2492</v>
      </c>
    </row>
    <row r="36" spans="1:4" s="1" customFormat="1" x14ac:dyDescent="0.2">
      <c r="A36" s="1" t="s">
        <v>2493</v>
      </c>
    </row>
    <row r="37" spans="1:4" s="1" customFormat="1" x14ac:dyDescent="0.2"/>
    <row r="38" spans="1:4" s="1" customFormat="1" x14ac:dyDescent="0.2">
      <c r="B38" s="1" t="s">
        <v>2527</v>
      </c>
    </row>
    <row r="39" spans="1:4" s="1" customFormat="1" x14ac:dyDescent="0.2">
      <c r="A39" s="16" t="s">
        <v>120</v>
      </c>
      <c r="B39" s="16" t="s">
        <v>466</v>
      </c>
      <c r="C39" s="16" t="s">
        <v>63</v>
      </c>
      <c r="D39" s="16"/>
    </row>
    <row r="40" spans="1:4" s="1" customFormat="1" x14ac:dyDescent="0.2">
      <c r="A40" s="7">
        <v>45291</v>
      </c>
      <c r="B40" s="10">
        <f>500000*1.1</f>
        <v>550000</v>
      </c>
      <c r="C40" s="8">
        <v>1400000</v>
      </c>
    </row>
    <row r="41" spans="1:4" s="1" customFormat="1" x14ac:dyDescent="0.2">
      <c r="A41" s="7">
        <v>45657</v>
      </c>
      <c r="B41" s="10">
        <f>500000*0.8*0.8</f>
        <v>320000</v>
      </c>
      <c r="C41" s="8">
        <v>1200000</v>
      </c>
    </row>
    <row r="42" spans="1:4" s="1" customFormat="1" x14ac:dyDescent="0.2">
      <c r="A42" s="7">
        <v>46022</v>
      </c>
      <c r="B42" s="10">
        <f>500000*0.7*1.3</f>
        <v>455000</v>
      </c>
      <c r="C42" s="8">
        <v>900000</v>
      </c>
    </row>
    <row r="43" spans="1:4" s="1" customFormat="1" x14ac:dyDescent="0.2"/>
    <row r="44" spans="1:4" s="1" customFormat="1" x14ac:dyDescent="0.2">
      <c r="A44" s="1" t="s">
        <v>1487</v>
      </c>
    </row>
    <row r="45" spans="1:4" s="1" customFormat="1" x14ac:dyDescent="0.2">
      <c r="A45" s="1" t="s">
        <v>1020</v>
      </c>
      <c r="B45" s="1" t="s">
        <v>2494</v>
      </c>
    </row>
    <row r="46" spans="1:4" s="1" customFormat="1" x14ac:dyDescent="0.2">
      <c r="A46" s="1" t="s">
        <v>1023</v>
      </c>
      <c r="B46" s="1" t="s">
        <v>2495</v>
      </c>
    </row>
    <row r="47" spans="1:4" s="1" customFormat="1" x14ac:dyDescent="0.2">
      <c r="A47" s="1" t="s">
        <v>1026</v>
      </c>
      <c r="B47" s="1" t="s">
        <v>2496</v>
      </c>
    </row>
    <row r="48" spans="1:4" s="1" customFormat="1" x14ac:dyDescent="0.2">
      <c r="A48" s="1" t="s">
        <v>2501</v>
      </c>
      <c r="B48" s="1" t="s">
        <v>2497</v>
      </c>
    </row>
    <row r="49" spans="1:14" s="1" customFormat="1" x14ac:dyDescent="0.2">
      <c r="A49" s="1" t="s">
        <v>2502</v>
      </c>
      <c r="B49" s="1" t="s">
        <v>2503</v>
      </c>
    </row>
    <row r="50" spans="1:14" s="1" customFormat="1" ht="17" thickBot="1" x14ac:dyDescent="0.25"/>
    <row r="51" spans="1:14" s="1" customFormat="1" x14ac:dyDescent="0.2">
      <c r="A51" s="1" t="s">
        <v>2498</v>
      </c>
      <c r="F51" s="53" t="s">
        <v>2504</v>
      </c>
      <c r="G51" s="23"/>
      <c r="H51" s="23"/>
      <c r="I51" s="23"/>
      <c r="J51" s="35"/>
    </row>
    <row r="52" spans="1:14" s="1" customFormat="1" x14ac:dyDescent="0.2">
      <c r="A52" s="73" t="s">
        <v>627</v>
      </c>
      <c r="F52" s="26" t="s">
        <v>2507</v>
      </c>
      <c r="J52" s="36"/>
    </row>
    <row r="53" spans="1:14" s="1" customFormat="1" x14ac:dyDescent="0.2">
      <c r="A53" s="73" t="s">
        <v>2499</v>
      </c>
      <c r="F53" s="26" t="s">
        <v>2505</v>
      </c>
      <c r="J53" s="36"/>
    </row>
    <row r="54" spans="1:14" s="1" customFormat="1" x14ac:dyDescent="0.2">
      <c r="A54" s="73" t="s">
        <v>628</v>
      </c>
      <c r="F54" s="26" t="s">
        <v>2506</v>
      </c>
      <c r="J54" s="36"/>
    </row>
    <row r="55" spans="1:14" x14ac:dyDescent="0.2">
      <c r="F55" s="26" t="s">
        <v>2508</v>
      </c>
      <c r="J55" s="326"/>
    </row>
    <row r="56" spans="1:14" ht="17" thickBot="1" x14ac:dyDescent="0.25">
      <c r="A56" s="73" t="s">
        <v>1505</v>
      </c>
      <c r="F56" s="28" t="s">
        <v>2509</v>
      </c>
      <c r="G56" s="327"/>
      <c r="H56" s="327"/>
      <c r="I56" s="327"/>
      <c r="J56" s="328"/>
    </row>
    <row r="58" spans="1:14" x14ac:dyDescent="0.2">
      <c r="A58" s="73" t="s">
        <v>2500</v>
      </c>
    </row>
    <row r="60" spans="1:14" x14ac:dyDescent="0.2">
      <c r="A60" s="1"/>
      <c r="B60" s="1"/>
      <c r="C60" s="1"/>
      <c r="D60" s="39">
        <v>44927</v>
      </c>
      <c r="E60" s="39">
        <v>45291</v>
      </c>
      <c r="F60" s="94">
        <v>45657</v>
      </c>
      <c r="G60" s="94">
        <v>46022</v>
      </c>
      <c r="K60" s="1"/>
      <c r="L60" s="1"/>
      <c r="M60" s="1"/>
      <c r="N60" s="1"/>
    </row>
    <row r="61" spans="1:14" x14ac:dyDescent="0.2">
      <c r="A61" s="1" t="s">
        <v>57</v>
      </c>
      <c r="B61" s="1"/>
      <c r="C61" s="1"/>
      <c r="D61" s="10">
        <v>500000</v>
      </c>
      <c r="E61" s="10">
        <f>550000</f>
        <v>550000</v>
      </c>
      <c r="F61" s="80">
        <v>320000</v>
      </c>
      <c r="G61" s="80">
        <f>B42</f>
        <v>455000</v>
      </c>
      <c r="K61" s="1"/>
      <c r="L61" s="1"/>
      <c r="M61" s="1"/>
      <c r="N61" s="1"/>
    </row>
    <row r="62" spans="1:14" x14ac:dyDescent="0.2">
      <c r="A62" s="1" t="s">
        <v>56</v>
      </c>
      <c r="B62" s="1"/>
      <c r="C62" s="1"/>
      <c r="D62" s="10">
        <f>D61</f>
        <v>500000</v>
      </c>
      <c r="E62" s="10">
        <f>D62-500000/10</f>
        <v>450000</v>
      </c>
      <c r="F62" s="10">
        <f>E62-500000/10</f>
        <v>400000</v>
      </c>
      <c r="G62" s="10">
        <f>F62-500000/10</f>
        <v>350000</v>
      </c>
      <c r="K62" s="1"/>
      <c r="L62" s="1"/>
      <c r="M62" s="1"/>
      <c r="N62" s="1"/>
    </row>
    <row r="63" spans="1:14" x14ac:dyDescent="0.2">
      <c r="A63" s="1" t="s">
        <v>650</v>
      </c>
      <c r="B63" s="1"/>
      <c r="C63" s="1"/>
      <c r="D63" s="41">
        <f>D61-D62</f>
        <v>0</v>
      </c>
      <c r="E63" s="41">
        <f>E61-E62</f>
        <v>100000</v>
      </c>
      <c r="F63" s="81">
        <f>F61-F62</f>
        <v>-80000</v>
      </c>
      <c r="G63" s="81">
        <f>G61-G62</f>
        <v>105000</v>
      </c>
      <c r="K63" s="1"/>
      <c r="L63" s="1"/>
      <c r="M63" s="1"/>
      <c r="N63" s="1"/>
    </row>
    <row r="64" spans="1:14" x14ac:dyDescent="0.2">
      <c r="A64" s="1" t="s">
        <v>90</v>
      </c>
      <c r="B64" s="1"/>
      <c r="C64" s="1"/>
      <c r="D64" s="42">
        <v>0.25</v>
      </c>
      <c r="E64" s="42">
        <v>0.25</v>
      </c>
      <c r="F64" s="42">
        <v>0.25</v>
      </c>
      <c r="G64" s="42">
        <v>0.25</v>
      </c>
      <c r="K64" s="1"/>
      <c r="L64" s="1"/>
      <c r="M64" s="1"/>
      <c r="N64" s="1"/>
    </row>
    <row r="65" spans="1:7" x14ac:dyDescent="0.2">
      <c r="A65" s="1" t="s">
        <v>651</v>
      </c>
      <c r="B65" s="1"/>
      <c r="C65" s="1"/>
      <c r="D65" s="41">
        <f>D63*D64</f>
        <v>0</v>
      </c>
      <c r="E65" s="41">
        <f>-E64*E63</f>
        <v>-25000</v>
      </c>
      <c r="F65" s="81">
        <f>-F64*F63</f>
        <v>20000</v>
      </c>
      <c r="G65" s="81">
        <f>-G64*G63</f>
        <v>-26250</v>
      </c>
    </row>
    <row r="67" spans="1:7" x14ac:dyDescent="0.2">
      <c r="A67" s="16" t="s">
        <v>2529</v>
      </c>
      <c r="B67" s="329"/>
      <c r="C67" s="329"/>
      <c r="D67" s="329"/>
      <c r="E67" s="39">
        <v>45291</v>
      </c>
      <c r="F67" s="94">
        <v>45657</v>
      </c>
      <c r="G67" s="94">
        <v>46022</v>
      </c>
    </row>
    <row r="68" spans="1:7" x14ac:dyDescent="0.2">
      <c r="A68" s="1" t="s">
        <v>2521</v>
      </c>
      <c r="E68" s="80">
        <f>500000/10</f>
        <v>50000</v>
      </c>
      <c r="F68" s="80">
        <f>E61/9</f>
        <v>61111.111111111109</v>
      </c>
      <c r="G68" s="80">
        <f>F61/8</f>
        <v>40000</v>
      </c>
    </row>
    <row r="69" spans="1:7" x14ac:dyDescent="0.2">
      <c r="A69" s="1" t="s">
        <v>2522</v>
      </c>
      <c r="E69" s="80">
        <f>500000/10</f>
        <v>50000</v>
      </c>
      <c r="F69" s="80">
        <f>500000/10</f>
        <v>50000</v>
      </c>
      <c r="G69" s="80">
        <f>500000/10</f>
        <v>50000</v>
      </c>
    </row>
    <row r="70" spans="1:7" x14ac:dyDescent="0.2">
      <c r="A70" s="1" t="s">
        <v>2528</v>
      </c>
      <c r="E70" s="81">
        <f>E68-E69</f>
        <v>0</v>
      </c>
      <c r="F70" s="99">
        <f>F68-F69</f>
        <v>11111.111111111109</v>
      </c>
      <c r="G70" s="99">
        <f>G68-G69</f>
        <v>-10000</v>
      </c>
    </row>
    <row r="71" spans="1:7" x14ac:dyDescent="0.2">
      <c r="A71" s="1"/>
    </row>
    <row r="72" spans="1:7" x14ac:dyDescent="0.2">
      <c r="A72" s="16" t="s">
        <v>2530</v>
      </c>
      <c r="B72" s="329"/>
      <c r="C72" s="329"/>
      <c r="D72" s="329"/>
      <c r="E72" s="39">
        <v>45291</v>
      </c>
      <c r="F72" s="94">
        <v>45657</v>
      </c>
      <c r="G72" s="94">
        <v>46022</v>
      </c>
    </row>
    <row r="73" spans="1:7" x14ac:dyDescent="0.2">
      <c r="A73" s="1" t="s">
        <v>674</v>
      </c>
      <c r="E73" s="10">
        <f>E61</f>
        <v>550000</v>
      </c>
      <c r="F73" s="10">
        <f>F61</f>
        <v>320000</v>
      </c>
      <c r="G73" s="10">
        <f>G61</f>
        <v>455000</v>
      </c>
    </row>
    <row r="74" spans="1:7" x14ac:dyDescent="0.2">
      <c r="A74" s="1" t="s">
        <v>2531</v>
      </c>
      <c r="E74" s="10">
        <f>D61*9/10</f>
        <v>450000</v>
      </c>
      <c r="F74" s="10">
        <f>E73*8/9</f>
        <v>488888.88888888888</v>
      </c>
      <c r="G74" s="10">
        <f>F73*7/8</f>
        <v>280000</v>
      </c>
    </row>
    <row r="75" spans="1:7" x14ac:dyDescent="0.2">
      <c r="A75" s="1" t="s">
        <v>2532</v>
      </c>
      <c r="E75" s="81">
        <f>E73-E74</f>
        <v>100000</v>
      </c>
      <c r="F75" s="81">
        <f>F73-F74</f>
        <v>-168888.88888888888</v>
      </c>
      <c r="G75" s="81">
        <f>G73-G74</f>
        <v>175000</v>
      </c>
    </row>
    <row r="76" spans="1:7" x14ac:dyDescent="0.2">
      <c r="A76" s="1"/>
    </row>
    <row r="77" spans="1:7" x14ac:dyDescent="0.2">
      <c r="A77" s="1"/>
      <c r="E77" s="39">
        <v>45291</v>
      </c>
      <c r="F77" s="94">
        <v>45657</v>
      </c>
      <c r="G77" s="94">
        <v>46022</v>
      </c>
    </row>
    <row r="78" spans="1:7" x14ac:dyDescent="0.2">
      <c r="A78" s="1" t="s">
        <v>2533</v>
      </c>
      <c r="E78" s="10">
        <f>E62</f>
        <v>450000</v>
      </c>
      <c r="F78" s="10">
        <f t="shared" ref="F78:G78" si="0">F62</f>
        <v>400000</v>
      </c>
      <c r="G78" s="10">
        <f t="shared" si="0"/>
        <v>350000</v>
      </c>
    </row>
    <row r="79" spans="1:7" x14ac:dyDescent="0.2">
      <c r="A79" s="1" t="s">
        <v>674</v>
      </c>
      <c r="E79" s="10">
        <f>E73</f>
        <v>550000</v>
      </c>
      <c r="F79" s="10">
        <f>F73</f>
        <v>320000</v>
      </c>
      <c r="G79" s="10">
        <f>G73</f>
        <v>455000</v>
      </c>
    </row>
    <row r="80" spans="1:7" x14ac:dyDescent="0.2">
      <c r="A80" s="1" t="s">
        <v>2526</v>
      </c>
      <c r="E80" s="10" t="s">
        <v>2534</v>
      </c>
      <c r="F80" s="1" t="s">
        <v>1191</v>
      </c>
      <c r="G80" s="10" t="s">
        <v>2534</v>
      </c>
    </row>
    <row r="81" spans="1:7" x14ac:dyDescent="0.2">
      <c r="A81" s="1"/>
    </row>
    <row r="82" spans="1:7" x14ac:dyDescent="0.2">
      <c r="A82" s="1"/>
      <c r="E82" s="39">
        <v>45291</v>
      </c>
      <c r="F82" s="94">
        <v>45657</v>
      </c>
      <c r="G82" s="94">
        <v>46022</v>
      </c>
    </row>
    <row r="83" spans="1:7" x14ac:dyDescent="0.2">
      <c r="A83" s="1" t="s">
        <v>2523</v>
      </c>
      <c r="E83" s="10">
        <f>E75</f>
        <v>100000</v>
      </c>
      <c r="F83" s="1"/>
      <c r="G83" s="330">
        <f>G75-G84</f>
        <v>105000</v>
      </c>
    </row>
    <row r="84" spans="1:7" x14ac:dyDescent="0.2">
      <c r="A84" s="1" t="s">
        <v>675</v>
      </c>
      <c r="E84" s="1"/>
      <c r="F84" s="1"/>
      <c r="G84" s="136">
        <f>G78-G74</f>
        <v>70000</v>
      </c>
    </row>
    <row r="85" spans="1:7" x14ac:dyDescent="0.2">
      <c r="A85" s="1" t="s">
        <v>2524</v>
      </c>
      <c r="E85" s="1"/>
      <c r="F85" s="330">
        <f>ABS(F75+F86)</f>
        <v>88888.888888888876</v>
      </c>
      <c r="G85" s="1"/>
    </row>
    <row r="86" spans="1:7" x14ac:dyDescent="0.2">
      <c r="A86" s="1" t="s">
        <v>2525</v>
      </c>
      <c r="E86" s="1"/>
      <c r="F86" s="136">
        <f>F78-F79</f>
        <v>80000</v>
      </c>
      <c r="G86" s="1"/>
    </row>
    <row r="88" spans="1:7" x14ac:dyDescent="0.2">
      <c r="A88" s="1" t="s">
        <v>2519</v>
      </c>
      <c r="E88" s="39">
        <v>45291</v>
      </c>
      <c r="F88" s="94">
        <v>45657</v>
      </c>
      <c r="G88" s="94">
        <v>46022</v>
      </c>
    </row>
    <row r="89" spans="1:7" x14ac:dyDescent="0.2">
      <c r="A89" s="1" t="s">
        <v>512</v>
      </c>
      <c r="E89" s="8">
        <f>C40</f>
        <v>1400000</v>
      </c>
      <c r="F89" s="8">
        <f>C41</f>
        <v>1200000</v>
      </c>
      <c r="G89" s="8">
        <f>C42</f>
        <v>900000</v>
      </c>
    </row>
    <row r="90" spans="1:7" x14ac:dyDescent="0.2">
      <c r="A90" s="1" t="s">
        <v>2510</v>
      </c>
      <c r="E90" s="1"/>
      <c r="F90" s="136">
        <f>F70</f>
        <v>11111.111111111109</v>
      </c>
      <c r="G90" s="1"/>
    </row>
    <row r="91" spans="1:7" s="1" customFormat="1" x14ac:dyDescent="0.2">
      <c r="A91" s="1" t="s">
        <v>2511</v>
      </c>
      <c r="F91" s="20"/>
      <c r="G91" s="136">
        <f>G70</f>
        <v>-10000</v>
      </c>
    </row>
    <row r="92" spans="1:7" s="1" customFormat="1" x14ac:dyDescent="0.2">
      <c r="A92" s="1" t="s">
        <v>2512</v>
      </c>
      <c r="F92" s="136">
        <f>F86</f>
        <v>80000</v>
      </c>
      <c r="G92" s="20"/>
    </row>
    <row r="93" spans="1:7" x14ac:dyDescent="0.2">
      <c r="A93" s="1" t="s">
        <v>2513</v>
      </c>
      <c r="G93" s="136">
        <f>-G84</f>
        <v>-70000</v>
      </c>
    </row>
    <row r="94" spans="1:7" x14ac:dyDescent="0.2">
      <c r="A94" s="1" t="s">
        <v>2514</v>
      </c>
      <c r="E94" s="46">
        <f>SUM(E89:E93)</f>
        <v>1400000</v>
      </c>
      <c r="F94" s="46">
        <f>SUM(F89:F93)</f>
        <v>1291111.111111111</v>
      </c>
      <c r="G94" s="46">
        <f>SUM(G89:G93)</f>
        <v>820000</v>
      </c>
    </row>
    <row r="95" spans="1:7" x14ac:dyDescent="0.2">
      <c r="A95" s="1" t="s">
        <v>90</v>
      </c>
      <c r="E95" s="42">
        <v>0.25</v>
      </c>
      <c r="F95" s="42">
        <v>0.25</v>
      </c>
      <c r="G95" s="42">
        <v>0.25</v>
      </c>
    </row>
    <row r="96" spans="1:7" x14ac:dyDescent="0.2">
      <c r="A96" s="1" t="s">
        <v>590</v>
      </c>
      <c r="E96" s="46">
        <f>E94*E95</f>
        <v>350000</v>
      </c>
      <c r="F96" s="46">
        <f>F94*F95</f>
        <v>322777.77777777775</v>
      </c>
      <c r="G96" s="46">
        <f>G94*G95</f>
        <v>205000</v>
      </c>
    </row>
    <row r="97" spans="1:12" x14ac:dyDescent="0.2">
      <c r="A97" s="1"/>
    </row>
    <row r="98" spans="1:12" x14ac:dyDescent="0.2">
      <c r="A98" s="1" t="s">
        <v>2517</v>
      </c>
      <c r="E98" s="39">
        <v>45291</v>
      </c>
      <c r="F98" s="94">
        <v>45657</v>
      </c>
      <c r="G98" s="94">
        <v>46022</v>
      </c>
    </row>
    <row r="99" spans="1:12" x14ac:dyDescent="0.2">
      <c r="A99" s="1" t="s">
        <v>2518</v>
      </c>
      <c r="E99" s="8">
        <f>E96</f>
        <v>350000</v>
      </c>
      <c r="F99" s="8">
        <f>F96</f>
        <v>322777.77777777775</v>
      </c>
      <c r="G99" s="8">
        <f>G96</f>
        <v>205000</v>
      </c>
    </row>
    <row r="100" spans="1:12" x14ac:dyDescent="0.2">
      <c r="A100" s="1" t="s">
        <v>2515</v>
      </c>
      <c r="F100" s="136">
        <f>-25%*(F90+F92)</f>
        <v>-22777.777777777777</v>
      </c>
      <c r="G100" s="79">
        <f>-25%*(G91+G93)</f>
        <v>20000</v>
      </c>
    </row>
    <row r="101" spans="1:12" x14ac:dyDescent="0.2">
      <c r="A101" s="1" t="s">
        <v>2516</v>
      </c>
      <c r="E101" s="46">
        <f>SUM(E99:E100)</f>
        <v>350000</v>
      </c>
      <c r="F101" s="46">
        <f>SUM(F99:F100)</f>
        <v>300000</v>
      </c>
      <c r="G101" s="46">
        <f>SUM(G99:G100)</f>
        <v>225000</v>
      </c>
    </row>
    <row r="103" spans="1:12" x14ac:dyDescent="0.2">
      <c r="A103" s="1" t="s">
        <v>2520</v>
      </c>
      <c r="E103" s="39">
        <v>45291</v>
      </c>
      <c r="F103" s="94">
        <v>45657</v>
      </c>
      <c r="G103" s="94">
        <v>46022</v>
      </c>
    </row>
    <row r="104" spans="1:12" x14ac:dyDescent="0.2">
      <c r="A104" s="1" t="s">
        <v>2535</v>
      </c>
      <c r="F104" s="10"/>
      <c r="G104" s="330">
        <f>G83*25%</f>
        <v>26250</v>
      </c>
    </row>
    <row r="105" spans="1:12" x14ac:dyDescent="0.2">
      <c r="A105" s="1" t="s">
        <v>2536</v>
      </c>
      <c r="F105" s="330">
        <f>F85*25%</f>
        <v>22222.222222222219</v>
      </c>
      <c r="G105" s="10"/>
    </row>
    <row r="107" spans="1:12" x14ac:dyDescent="0.2">
      <c r="C107" s="1" t="s">
        <v>2537</v>
      </c>
      <c r="D107" s="1"/>
      <c r="E107" s="1"/>
      <c r="F107" s="1"/>
      <c r="G107" s="1"/>
      <c r="H107" s="1"/>
      <c r="I107" s="1"/>
      <c r="J107" s="1"/>
      <c r="K107" s="1"/>
      <c r="L107" s="1"/>
    </row>
    <row r="108" spans="1:12" x14ac:dyDescent="0.2">
      <c r="C108" s="1" t="s">
        <v>2538</v>
      </c>
      <c r="D108" s="1"/>
      <c r="E108" s="1"/>
      <c r="F108" s="1"/>
      <c r="G108" s="1"/>
      <c r="H108" s="1"/>
      <c r="I108" s="1"/>
      <c r="J108" s="1"/>
      <c r="K108" s="1"/>
      <c r="L108" s="1"/>
    </row>
    <row r="109" spans="1:12" x14ac:dyDescent="0.2">
      <c r="C109" s="1" t="s">
        <v>2539</v>
      </c>
      <c r="D109" s="1"/>
      <c r="E109" s="1"/>
      <c r="F109" s="1"/>
      <c r="G109" s="1"/>
      <c r="H109" s="1"/>
      <c r="I109" s="1"/>
      <c r="J109" s="1"/>
      <c r="K109" s="1"/>
      <c r="L109" s="1"/>
    </row>
    <row r="110" spans="1:12" x14ac:dyDescent="0.2">
      <c r="C110" s="1"/>
      <c r="D110" s="1"/>
      <c r="E110" s="1"/>
      <c r="F110" s="1"/>
      <c r="G110" s="1"/>
      <c r="H110" s="1"/>
      <c r="I110" s="1"/>
      <c r="J110" s="1"/>
      <c r="K110" s="1"/>
      <c r="L110" s="1"/>
    </row>
    <row r="111" spans="1:12" x14ac:dyDescent="0.2">
      <c r="C111" s="1" t="s">
        <v>2540</v>
      </c>
      <c r="D111" s="1"/>
      <c r="E111" s="1"/>
      <c r="F111" s="1"/>
      <c r="G111" s="1"/>
      <c r="H111" s="1"/>
      <c r="I111" s="1"/>
      <c r="J111" s="1"/>
      <c r="K111" s="1"/>
      <c r="L111" s="1"/>
    </row>
    <row r="112" spans="1:12" x14ac:dyDescent="0.2">
      <c r="C112" s="1" t="s">
        <v>2541</v>
      </c>
      <c r="D112" s="1"/>
      <c r="E112" s="1"/>
      <c r="F112" s="1"/>
      <c r="G112" s="1"/>
      <c r="H112" s="1"/>
      <c r="I112" s="1"/>
      <c r="J112" s="1"/>
      <c r="K112" s="1"/>
      <c r="L112" s="1"/>
    </row>
    <row r="115" spans="1:8" s="1" customFormat="1" x14ac:dyDescent="0.2">
      <c r="A115" s="71" t="s">
        <v>688</v>
      </c>
      <c r="B115" s="71"/>
      <c r="C115" s="71"/>
      <c r="D115" s="71"/>
      <c r="E115" s="71"/>
      <c r="F115" s="71"/>
      <c r="G115" s="71"/>
      <c r="H115" s="71"/>
    </row>
    <row r="116" spans="1:8" s="1" customFormat="1" x14ac:dyDescent="0.2">
      <c r="A116" s="1" t="s">
        <v>689</v>
      </c>
    </row>
    <row r="117" spans="1:8" s="1" customFormat="1" x14ac:dyDescent="0.2">
      <c r="A117" s="1" t="s">
        <v>690</v>
      </c>
    </row>
    <row r="118" spans="1:8" s="1" customFormat="1" x14ac:dyDescent="0.2">
      <c r="A118" s="1" t="s">
        <v>691</v>
      </c>
    </row>
    <row r="119" spans="1:8" s="1" customFormat="1" x14ac:dyDescent="0.2">
      <c r="A119" s="1" t="s">
        <v>692</v>
      </c>
    </row>
    <row r="120" spans="1:8" s="1" customFormat="1" x14ac:dyDescent="0.2">
      <c r="A120" s="1" t="s">
        <v>693</v>
      </c>
    </row>
    <row r="121" spans="1:8" s="1" customFormat="1" x14ac:dyDescent="0.2">
      <c r="A121" s="1" t="s">
        <v>694</v>
      </c>
    </row>
    <row r="122" spans="1:8" s="1" customFormat="1" x14ac:dyDescent="0.2"/>
    <row r="123" spans="1:8" s="1" customFormat="1" x14ac:dyDescent="0.2">
      <c r="A123" s="3" t="s">
        <v>2542</v>
      </c>
    </row>
    <row r="124" spans="1:8" s="1" customFormat="1" x14ac:dyDescent="0.2">
      <c r="A124" s="1" t="s">
        <v>2543</v>
      </c>
    </row>
    <row r="125" spans="1:8" s="1" customFormat="1" x14ac:dyDescent="0.2">
      <c r="A125" s="1" t="s">
        <v>2544</v>
      </c>
    </row>
    <row r="126" spans="1:8" s="1" customFormat="1" x14ac:dyDescent="0.2">
      <c r="A126" s="1" t="s">
        <v>2545</v>
      </c>
    </row>
    <row r="127" spans="1:8" s="1" customFormat="1" x14ac:dyDescent="0.2">
      <c r="A127" s="1" t="s">
        <v>2546</v>
      </c>
    </row>
    <row r="128" spans="1:8" s="1" customFormat="1" x14ac:dyDescent="0.2"/>
    <row r="129" spans="1:2" s="1" customFormat="1" x14ac:dyDescent="0.2">
      <c r="A129" s="3" t="s">
        <v>2547</v>
      </c>
    </row>
    <row r="130" spans="1:2" s="1" customFormat="1" x14ac:dyDescent="0.2">
      <c r="A130" s="1" t="s">
        <v>2548</v>
      </c>
    </row>
    <row r="131" spans="1:2" s="1" customFormat="1" x14ac:dyDescent="0.2">
      <c r="A131" s="1" t="s">
        <v>2549</v>
      </c>
    </row>
    <row r="132" spans="1:2" s="1" customFormat="1" x14ac:dyDescent="0.2">
      <c r="A132" s="1" t="s">
        <v>2550</v>
      </c>
    </row>
    <row r="133" spans="1:2" s="1" customFormat="1" x14ac:dyDescent="0.2">
      <c r="B133" s="1" t="s">
        <v>2551</v>
      </c>
    </row>
    <row r="134" spans="1:2" s="1" customFormat="1" x14ac:dyDescent="0.2">
      <c r="B134" s="1" t="s">
        <v>2552</v>
      </c>
    </row>
    <row r="135" spans="1:2" s="1" customFormat="1" x14ac:dyDescent="0.2"/>
    <row r="136" spans="1:2" s="1" customFormat="1" x14ac:dyDescent="0.2">
      <c r="A136" s="74" t="s">
        <v>2553</v>
      </c>
    </row>
    <row r="137" spans="1:2" s="1" customFormat="1" x14ac:dyDescent="0.2">
      <c r="A137" s="1" t="s">
        <v>2554</v>
      </c>
    </row>
    <row r="138" spans="1:2" s="1" customFormat="1" x14ac:dyDescent="0.2">
      <c r="A138" s="1" t="s">
        <v>2555</v>
      </c>
    </row>
    <row r="139" spans="1:2" s="1" customFormat="1" x14ac:dyDescent="0.2">
      <c r="A139" s="1" t="s">
        <v>2556</v>
      </c>
    </row>
    <row r="140" spans="1:2" s="1" customFormat="1" x14ac:dyDescent="0.2">
      <c r="A140" s="1" t="s">
        <v>2557</v>
      </c>
    </row>
    <row r="141" spans="1:2" s="1" customFormat="1" x14ac:dyDescent="0.2"/>
    <row r="142" spans="1:2" s="1" customFormat="1" x14ac:dyDescent="0.2">
      <c r="A142" s="74" t="s">
        <v>2558</v>
      </c>
    </row>
    <row r="143" spans="1:2" s="1" customFormat="1" x14ac:dyDescent="0.2">
      <c r="A143" s="74" t="s">
        <v>2559</v>
      </c>
    </row>
    <row r="144" spans="1:2" s="1" customFormat="1" x14ac:dyDescent="0.2">
      <c r="A144" s="1" t="s">
        <v>2560</v>
      </c>
    </row>
    <row r="145" spans="1:8" s="1" customFormat="1" x14ac:dyDescent="0.2">
      <c r="A145" s="1" t="s">
        <v>2561</v>
      </c>
    </row>
    <row r="146" spans="1:8" s="1" customFormat="1" x14ac:dyDescent="0.2">
      <c r="A146" s="1" t="s">
        <v>2562</v>
      </c>
      <c r="D146" s="1" t="s">
        <v>2563</v>
      </c>
    </row>
    <row r="147" spans="1:8" s="1" customFormat="1" x14ac:dyDescent="0.2">
      <c r="D147" s="1" t="s">
        <v>2564</v>
      </c>
    </row>
    <row r="148" spans="1:8" s="1" customFormat="1" x14ac:dyDescent="0.2">
      <c r="D148" s="1" t="s">
        <v>2565</v>
      </c>
    </row>
    <row r="149" spans="1:8" s="1" customFormat="1" x14ac:dyDescent="0.2">
      <c r="D149" s="1" t="s">
        <v>2566</v>
      </c>
    </row>
    <row r="150" spans="1:8" s="1" customFormat="1" x14ac:dyDescent="0.2">
      <c r="D150" s="1" t="s">
        <v>2567</v>
      </c>
    </row>
    <row r="151" spans="1:8" s="1" customFormat="1" x14ac:dyDescent="0.2">
      <c r="D151" s="1" t="s">
        <v>2568</v>
      </c>
    </row>
    <row r="152" spans="1:8" s="1" customFormat="1" x14ac:dyDescent="0.2"/>
    <row r="153" spans="1:8" s="1" customFormat="1" x14ac:dyDescent="0.2">
      <c r="A153" s="1" t="s">
        <v>2569</v>
      </c>
      <c r="B153" s="1" t="s">
        <v>2570</v>
      </c>
    </row>
    <row r="154" spans="1:8" s="1" customFormat="1" x14ac:dyDescent="0.2">
      <c r="B154" s="1" t="s">
        <v>2571</v>
      </c>
    </row>
    <row r="155" spans="1:8" s="1" customFormat="1" x14ac:dyDescent="0.2">
      <c r="B155" s="1" t="s">
        <v>2572</v>
      </c>
    </row>
    <row r="156" spans="1:8" s="1" customFormat="1" x14ac:dyDescent="0.2"/>
    <row r="157" spans="1:8" s="1" customFormat="1" x14ac:dyDescent="0.2"/>
    <row r="158" spans="1:8" s="1" customFormat="1" x14ac:dyDescent="0.2"/>
    <row r="159" spans="1:8" s="1" customFormat="1" x14ac:dyDescent="0.2">
      <c r="A159" s="71" t="s">
        <v>2483</v>
      </c>
      <c r="B159" s="72"/>
      <c r="C159" s="72"/>
      <c r="D159" s="72"/>
      <c r="E159" s="72"/>
      <c r="F159" s="72"/>
      <c r="G159" s="72"/>
      <c r="H159" s="72"/>
    </row>
    <row r="160" spans="1:8" s="1" customFormat="1" x14ac:dyDescent="0.2">
      <c r="A160" s="1" t="s">
        <v>705</v>
      </c>
    </row>
    <row r="161" spans="1:8" s="1" customFormat="1" x14ac:dyDescent="0.2">
      <c r="A161" s="1" t="s">
        <v>706</v>
      </c>
    </row>
    <row r="162" spans="1:8" s="1" customFormat="1" x14ac:dyDescent="0.2">
      <c r="A162" s="1" t="s">
        <v>695</v>
      </c>
    </row>
    <row r="163" spans="1:8" s="1" customFormat="1" x14ac:dyDescent="0.2">
      <c r="A163" s="1" t="s">
        <v>2573</v>
      </c>
    </row>
    <row r="164" spans="1:8" s="1" customFormat="1" x14ac:dyDescent="0.2">
      <c r="A164" s="1" t="s">
        <v>696</v>
      </c>
    </row>
    <row r="165" spans="1:8" s="1" customFormat="1" x14ac:dyDescent="0.2">
      <c r="A165" s="1" t="s">
        <v>704</v>
      </c>
    </row>
    <row r="166" spans="1:8" s="1" customFormat="1" x14ac:dyDescent="0.2">
      <c r="A166" s="1" t="s">
        <v>697</v>
      </c>
    </row>
    <row r="167" spans="1:8" s="1" customFormat="1" x14ac:dyDescent="0.2">
      <c r="A167" s="1" t="s">
        <v>698</v>
      </c>
    </row>
    <row r="168" spans="1:8" s="1" customFormat="1" x14ac:dyDescent="0.2">
      <c r="A168" s="1" t="s">
        <v>701</v>
      </c>
    </row>
    <row r="169" spans="1:8" s="1" customFormat="1" x14ac:dyDescent="0.2">
      <c r="A169" s="1" t="s">
        <v>699</v>
      </c>
    </row>
    <row r="170" spans="1:8" s="1" customFormat="1" x14ac:dyDescent="0.2">
      <c r="A170" s="1" t="s">
        <v>702</v>
      </c>
    </row>
    <row r="171" spans="1:8" s="1" customFormat="1" x14ac:dyDescent="0.2">
      <c r="A171" s="1" t="s">
        <v>703</v>
      </c>
    </row>
    <row r="172" spans="1:8" s="1" customFormat="1" x14ac:dyDescent="0.2"/>
    <row r="173" spans="1:8" s="1" customFormat="1" x14ac:dyDescent="0.2">
      <c r="A173" s="75" t="s">
        <v>700</v>
      </c>
      <c r="B173" s="75"/>
      <c r="C173" s="75"/>
      <c r="D173" s="75"/>
      <c r="E173" s="75"/>
      <c r="F173" s="75"/>
      <c r="G173" s="75"/>
      <c r="H173" s="75"/>
    </row>
    <row r="174" spans="1:8" s="1" customFormat="1" x14ac:dyDescent="0.2"/>
    <row r="175" spans="1:8" s="1" customFormat="1" x14ac:dyDescent="0.2">
      <c r="C175" s="39">
        <v>43831</v>
      </c>
      <c r="D175" s="39">
        <v>44196</v>
      </c>
      <c r="E175" s="39">
        <v>44561</v>
      </c>
    </row>
    <row r="176" spans="1:8" s="1" customFormat="1" x14ac:dyDescent="0.2">
      <c r="A176" s="1" t="s">
        <v>2574</v>
      </c>
      <c r="C176" s="10">
        <v>1000000</v>
      </c>
      <c r="D176" s="10">
        <v>800000</v>
      </c>
      <c r="E176" s="10">
        <v>750000</v>
      </c>
    </row>
    <row r="177" spans="1:7" s="1" customFormat="1" x14ac:dyDescent="0.2">
      <c r="A177" s="1" t="s">
        <v>56</v>
      </c>
      <c r="C177" s="10">
        <v>1000000</v>
      </c>
      <c r="D177" s="10">
        <f>1000000*39/40</f>
        <v>975000</v>
      </c>
      <c r="E177" s="10">
        <f>1000000*38/40</f>
        <v>950000</v>
      </c>
    </row>
    <row r="178" spans="1:7" s="1" customFormat="1" x14ac:dyDescent="0.2">
      <c r="A178" s="1" t="s">
        <v>382</v>
      </c>
      <c r="C178" s="41">
        <f>C176-C177</f>
        <v>0</v>
      </c>
      <c r="D178" s="41">
        <f>D176-D177</f>
        <v>-175000</v>
      </c>
      <c r="E178" s="41">
        <f>E176-E177</f>
        <v>-200000</v>
      </c>
    </row>
    <row r="179" spans="1:7" s="1" customFormat="1" x14ac:dyDescent="0.2">
      <c r="A179" s="1" t="s">
        <v>90</v>
      </c>
      <c r="C179" s="60">
        <v>0.23</v>
      </c>
      <c r="D179" s="60">
        <v>0.23</v>
      </c>
      <c r="E179" s="60">
        <v>0.23</v>
      </c>
    </row>
    <row r="180" spans="1:7" s="1" customFormat="1" x14ac:dyDescent="0.2">
      <c r="A180" s="1" t="s">
        <v>360</v>
      </c>
      <c r="C180" s="41">
        <v>0</v>
      </c>
      <c r="D180" s="41">
        <v>0</v>
      </c>
      <c r="E180" s="98">
        <f>-E178*E179</f>
        <v>46000</v>
      </c>
    </row>
    <row r="181" spans="1:7" s="1" customFormat="1" x14ac:dyDescent="0.2"/>
    <row r="182" spans="1:7" s="1" customFormat="1" x14ac:dyDescent="0.2">
      <c r="A182" s="74" t="s">
        <v>707</v>
      </c>
      <c r="E182" s="74" t="s">
        <v>708</v>
      </c>
    </row>
    <row r="183" spans="1:7" s="1" customFormat="1" x14ac:dyDescent="0.2">
      <c r="A183" s="1" t="s">
        <v>2575</v>
      </c>
      <c r="C183" s="11">
        <v>-400000</v>
      </c>
      <c r="E183" s="1" t="s">
        <v>2575</v>
      </c>
      <c r="G183" s="11">
        <v>-300000</v>
      </c>
    </row>
    <row r="184" spans="1:7" s="1" customFormat="1" x14ac:dyDescent="0.2">
      <c r="A184" s="1" t="s">
        <v>2577</v>
      </c>
      <c r="C184" s="11">
        <f>-25000</f>
        <v>-25000</v>
      </c>
      <c r="E184" s="1" t="s">
        <v>2577</v>
      </c>
      <c r="G184" s="11">
        <f>-25000</f>
        <v>-25000</v>
      </c>
    </row>
    <row r="185" spans="1:7" s="1" customFormat="1" x14ac:dyDescent="0.2">
      <c r="A185" s="1" t="s">
        <v>2576</v>
      </c>
      <c r="C185" s="11">
        <v>200000</v>
      </c>
      <c r="E185" s="1" t="s">
        <v>2579</v>
      </c>
      <c r="G185" s="11">
        <f>D176-E176</f>
        <v>50000</v>
      </c>
    </row>
    <row r="186" spans="1:7" s="1" customFormat="1" x14ac:dyDescent="0.2">
      <c r="A186" s="1" t="s">
        <v>166</v>
      </c>
      <c r="C186" s="12">
        <f>SUM(C183:C185)</f>
        <v>-225000</v>
      </c>
      <c r="E186" s="1" t="s">
        <v>166</v>
      </c>
      <c r="G186" s="12">
        <f>SUM(G183:G185)</f>
        <v>-275000</v>
      </c>
    </row>
    <row r="187" spans="1:7" s="1" customFormat="1" x14ac:dyDescent="0.2">
      <c r="C187" s="2"/>
      <c r="G187" s="2"/>
    </row>
    <row r="188" spans="1:7" s="1" customFormat="1" x14ac:dyDescent="0.2">
      <c r="A188" s="1" t="s">
        <v>2578</v>
      </c>
      <c r="C188" s="13">
        <v>0.23</v>
      </c>
      <c r="E188" s="1" t="s">
        <v>2578</v>
      </c>
      <c r="G188" s="13">
        <v>0.23</v>
      </c>
    </row>
    <row r="189" spans="1:7" s="1" customFormat="1" x14ac:dyDescent="0.2">
      <c r="C189" s="2"/>
      <c r="G189" s="2"/>
    </row>
    <row r="190" spans="1:7" s="1" customFormat="1" x14ac:dyDescent="0.2">
      <c r="A190" s="1" t="s">
        <v>590</v>
      </c>
      <c r="C190" s="12">
        <v>0</v>
      </c>
      <c r="E190" s="1" t="s">
        <v>2580</v>
      </c>
      <c r="G190" s="12">
        <v>0</v>
      </c>
    </row>
    <row r="191" spans="1:7" s="1" customFormat="1" x14ac:dyDescent="0.2">
      <c r="C191" s="2"/>
      <c r="G191" s="2"/>
    </row>
    <row r="192" spans="1:7" s="1" customFormat="1" x14ac:dyDescent="0.2">
      <c r="A192" s="1" t="s">
        <v>343</v>
      </c>
      <c r="C192" s="2">
        <v>0</v>
      </c>
      <c r="E192" s="1" t="s">
        <v>507</v>
      </c>
      <c r="G192" s="11">
        <f>H214</f>
        <v>161000</v>
      </c>
    </row>
    <row r="193" spans="1:10" s="1" customFormat="1" x14ac:dyDescent="0.2">
      <c r="C193" s="2"/>
    </row>
    <row r="194" spans="1:10" s="1" customFormat="1" x14ac:dyDescent="0.2">
      <c r="A194" s="1" t="s">
        <v>607</v>
      </c>
      <c r="C194" s="12">
        <f>C190+C192</f>
        <v>0</v>
      </c>
      <c r="E194" s="1" t="s">
        <v>710</v>
      </c>
      <c r="G194" s="12">
        <f>G192</f>
        <v>161000</v>
      </c>
    </row>
    <row r="195" spans="1:10" s="1" customFormat="1" x14ac:dyDescent="0.2"/>
    <row r="196" spans="1:10" s="1" customFormat="1" x14ac:dyDescent="0.2">
      <c r="A196" s="74" t="s">
        <v>2583</v>
      </c>
      <c r="E196" s="74" t="s">
        <v>2584</v>
      </c>
      <c r="I196" s="1" t="s">
        <v>2599</v>
      </c>
    </row>
    <row r="197" spans="1:10" s="1" customFormat="1" x14ac:dyDescent="0.2">
      <c r="A197" s="1" t="s">
        <v>2581</v>
      </c>
      <c r="E197" s="1" t="s">
        <v>2585</v>
      </c>
      <c r="I197" s="1" t="s">
        <v>2600</v>
      </c>
    </row>
    <row r="198" spans="1:10" s="1" customFormat="1" x14ac:dyDescent="0.2">
      <c r="A198" s="1" t="s">
        <v>2582</v>
      </c>
      <c r="E198" s="1" t="s">
        <v>2586</v>
      </c>
      <c r="H198" s="10">
        <f>E180</f>
        <v>46000</v>
      </c>
    </row>
    <row r="199" spans="1:10" s="1" customFormat="1" x14ac:dyDescent="0.2">
      <c r="E199" s="1" t="s">
        <v>2587</v>
      </c>
      <c r="H199" s="10">
        <f>(-C186-G186)*23%</f>
        <v>115000</v>
      </c>
      <c r="J199" s="1" t="s">
        <v>2588</v>
      </c>
    </row>
    <row r="200" spans="1:10" s="1" customFormat="1" x14ac:dyDescent="0.2">
      <c r="E200" s="1" t="s">
        <v>2589</v>
      </c>
      <c r="H200" s="10">
        <f>H198+H199</f>
        <v>161000</v>
      </c>
    </row>
    <row r="201" spans="1:10" s="1" customFormat="1" x14ac:dyDescent="0.2"/>
    <row r="202" spans="1:10" s="1" customFormat="1" x14ac:dyDescent="0.2">
      <c r="E202" s="1" t="s">
        <v>2590</v>
      </c>
    </row>
    <row r="203" spans="1:10" s="1" customFormat="1" x14ac:dyDescent="0.2">
      <c r="E203" s="1" t="s">
        <v>2591</v>
      </c>
    </row>
    <row r="204" spans="1:10" s="1" customFormat="1" x14ac:dyDescent="0.2">
      <c r="E204" s="1" t="s">
        <v>2592</v>
      </c>
    </row>
    <row r="205" spans="1:10" s="1" customFormat="1" x14ac:dyDescent="0.2">
      <c r="E205" s="1" t="s">
        <v>2593</v>
      </c>
    </row>
    <row r="206" spans="1:10" s="1" customFormat="1" x14ac:dyDescent="0.2">
      <c r="E206" s="1" t="s">
        <v>2594</v>
      </c>
    </row>
    <row r="207" spans="1:10" s="1" customFormat="1" x14ac:dyDescent="0.2">
      <c r="E207" s="1" t="s">
        <v>2595</v>
      </c>
    </row>
    <row r="208" spans="1:10" s="1" customFormat="1" x14ac:dyDescent="0.2"/>
    <row r="209" spans="1:11" s="1" customFormat="1" x14ac:dyDescent="0.2">
      <c r="E209" s="1" t="s">
        <v>2596</v>
      </c>
    </row>
    <row r="210" spans="1:11" s="1" customFormat="1" x14ac:dyDescent="0.2">
      <c r="E210" s="1" t="s">
        <v>2597</v>
      </c>
    </row>
    <row r="211" spans="1:11" s="1" customFormat="1" x14ac:dyDescent="0.2">
      <c r="E211" s="1" t="s">
        <v>2598</v>
      </c>
    </row>
    <row r="212" spans="1:11" s="1" customFormat="1" x14ac:dyDescent="0.2"/>
    <row r="213" spans="1:11" s="1" customFormat="1" x14ac:dyDescent="0.2">
      <c r="E213" s="1" t="s">
        <v>2601</v>
      </c>
    </row>
    <row r="214" spans="1:11" s="1" customFormat="1" x14ac:dyDescent="0.2">
      <c r="E214" s="1" t="s">
        <v>500</v>
      </c>
      <c r="H214" s="10">
        <f>H200</f>
        <v>161000</v>
      </c>
      <c r="I214" s="1" t="s">
        <v>2602</v>
      </c>
    </row>
    <row r="215" spans="1:11" s="1" customFormat="1" x14ac:dyDescent="0.2">
      <c r="E215" s="1" t="s">
        <v>504</v>
      </c>
      <c r="H215" s="10">
        <f>H214</f>
        <v>161000</v>
      </c>
      <c r="I215" s="1" t="s">
        <v>2603</v>
      </c>
    </row>
    <row r="216" spans="1:11" s="1" customFormat="1" x14ac:dyDescent="0.2"/>
    <row r="217" spans="1:11" s="1" customFormat="1" x14ac:dyDescent="0.2">
      <c r="A217" s="74" t="s">
        <v>2604</v>
      </c>
      <c r="G217" s="74" t="s">
        <v>2605</v>
      </c>
    </row>
    <row r="218" spans="1:11" s="1" customFormat="1" x14ac:dyDescent="0.2">
      <c r="A218" s="1" t="s">
        <v>2575</v>
      </c>
      <c r="E218" s="10">
        <f>C183</f>
        <v>-400000</v>
      </c>
      <c r="G218" s="1" t="s">
        <v>2575</v>
      </c>
      <c r="K218" s="10">
        <f>G183</f>
        <v>-300000</v>
      </c>
    </row>
    <row r="219" spans="1:11" s="1" customFormat="1" x14ac:dyDescent="0.2">
      <c r="A219" s="1" t="s">
        <v>90</v>
      </c>
      <c r="E219" s="42">
        <v>0.23</v>
      </c>
      <c r="G219" s="1" t="s">
        <v>130</v>
      </c>
      <c r="K219" s="42">
        <v>0.23</v>
      </c>
    </row>
    <row r="220" spans="1:11" s="1" customFormat="1" x14ac:dyDescent="0.2">
      <c r="A220" s="1" t="s">
        <v>709</v>
      </c>
      <c r="E220" s="41">
        <f>-E218*E219</f>
        <v>92000</v>
      </c>
      <c r="G220" s="1" t="s">
        <v>709</v>
      </c>
      <c r="K220" s="41">
        <f>K218*-K219</f>
        <v>69000</v>
      </c>
    </row>
    <row r="221" spans="1:11" s="1" customFormat="1" x14ac:dyDescent="0.2">
      <c r="A221" s="1" t="s">
        <v>2606</v>
      </c>
    </row>
    <row r="222" spans="1:11" s="1" customFormat="1" x14ac:dyDescent="0.2">
      <c r="A222" s="1" t="s">
        <v>2607</v>
      </c>
      <c r="E222" s="10">
        <f>-E220</f>
        <v>-92000</v>
      </c>
      <c r="G222" s="1" t="s">
        <v>2610</v>
      </c>
      <c r="K222" s="10">
        <f>-E222</f>
        <v>92000</v>
      </c>
    </row>
    <row r="223" spans="1:11" s="1" customFormat="1" x14ac:dyDescent="0.2">
      <c r="E223" s="10"/>
    </row>
    <row r="224" spans="1:11" s="1" customFormat="1" x14ac:dyDescent="0.2">
      <c r="A224" s="1" t="s">
        <v>2608</v>
      </c>
      <c r="E224" s="41">
        <f>E220+E222</f>
        <v>0</v>
      </c>
      <c r="G224" s="1" t="s">
        <v>2609</v>
      </c>
      <c r="K224" s="41">
        <f>H215</f>
        <v>161000</v>
      </c>
    </row>
    <row r="225" s="1" customFormat="1" x14ac:dyDescent="0.2"/>
    <row r="226" s="1" customFormat="1" x14ac:dyDescent="0.2"/>
    <row r="227" s="1" customFormat="1" x14ac:dyDescent="0.2"/>
    <row r="228" s="1" customFormat="1" x14ac:dyDescent="0.2"/>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6B2C6A-31E0-9A4E-AB7F-78263F3BBD71}">
  <dimension ref="A1:K582"/>
  <sheetViews>
    <sheetView rightToLeft="1" topLeftCell="A539" zoomScale="380" zoomScaleNormal="380" workbookViewId="0">
      <selection activeCell="D550" sqref="D550"/>
    </sheetView>
  </sheetViews>
  <sheetFormatPr baseColWidth="10" defaultRowHeight="16" x14ac:dyDescent="0.2"/>
  <cols>
    <col min="1" max="16384" width="10.83203125" style="1"/>
  </cols>
  <sheetData>
    <row r="1" spans="1:8" x14ac:dyDescent="0.2">
      <c r="A1" s="6" t="s">
        <v>1158</v>
      </c>
      <c r="B1" s="6"/>
      <c r="C1" s="6"/>
      <c r="D1" s="6"/>
      <c r="E1" s="6"/>
      <c r="F1" s="6"/>
      <c r="G1" s="34">
        <v>45637</v>
      </c>
      <c r="H1" s="6" t="s">
        <v>11</v>
      </c>
    </row>
    <row r="3" spans="1:8" x14ac:dyDescent="0.2">
      <c r="A3" s="100" t="s">
        <v>207</v>
      </c>
      <c r="B3" s="100"/>
      <c r="C3" s="100"/>
      <c r="D3" s="100"/>
      <c r="E3" s="100"/>
      <c r="F3" s="100"/>
      <c r="G3" s="100"/>
      <c r="H3" s="100"/>
    </row>
    <row r="4" spans="1:8" x14ac:dyDescent="0.2">
      <c r="A4" s="1" t="s">
        <v>830</v>
      </c>
    </row>
    <row r="5" spans="1:8" x14ac:dyDescent="0.2">
      <c r="A5" s="1" t="s">
        <v>2611</v>
      </c>
    </row>
    <row r="6" spans="1:8" x14ac:dyDescent="0.2">
      <c r="A6" s="1" t="s">
        <v>831</v>
      </c>
    </row>
    <row r="7" spans="1:8" x14ac:dyDescent="0.2">
      <c r="A7" s="1" t="s">
        <v>832</v>
      </c>
    </row>
    <row r="9" spans="1:8" x14ac:dyDescent="0.2">
      <c r="A9" s="100" t="s">
        <v>833</v>
      </c>
      <c r="B9" s="101"/>
      <c r="C9" s="101"/>
      <c r="D9" s="101"/>
      <c r="E9" s="101"/>
      <c r="F9" s="101"/>
      <c r="G9" s="101"/>
      <c r="H9" s="101"/>
    </row>
    <row r="10" spans="1:8" x14ac:dyDescent="0.2">
      <c r="A10" s="1" t="s">
        <v>834</v>
      </c>
    </row>
    <row r="11" spans="1:8" x14ac:dyDescent="0.2">
      <c r="A11" s="1" t="s">
        <v>835</v>
      </c>
    </row>
    <row r="12" spans="1:8" x14ac:dyDescent="0.2">
      <c r="A12" s="1" t="s">
        <v>932</v>
      </c>
    </row>
    <row r="14" spans="1:8" x14ac:dyDescent="0.2">
      <c r="A14" s="100" t="s">
        <v>836</v>
      </c>
      <c r="B14" s="100"/>
      <c r="C14" s="100"/>
      <c r="D14" s="100"/>
      <c r="E14" s="100"/>
      <c r="F14" s="100"/>
      <c r="G14" s="100"/>
      <c r="H14" s="100"/>
    </row>
    <row r="15" spans="1:8" x14ac:dyDescent="0.2">
      <c r="A15" s="1" t="s">
        <v>837</v>
      </c>
    </row>
    <row r="17" spans="1:8" x14ac:dyDescent="0.2">
      <c r="A17" s="100" t="s">
        <v>838</v>
      </c>
      <c r="B17" s="101"/>
      <c r="C17" s="101"/>
      <c r="D17" s="101"/>
      <c r="E17" s="101"/>
      <c r="F17" s="101"/>
      <c r="G17" s="101"/>
      <c r="H17" s="101"/>
    </row>
    <row r="18" spans="1:8" x14ac:dyDescent="0.2">
      <c r="A18" s="1" t="s">
        <v>839</v>
      </c>
    </row>
    <row r="19" spans="1:8" x14ac:dyDescent="0.2">
      <c r="A19" s="1" t="s">
        <v>840</v>
      </c>
    </row>
    <row r="20" spans="1:8" x14ac:dyDescent="0.2">
      <c r="A20" s="1" t="s">
        <v>933</v>
      </c>
    </row>
    <row r="22" spans="1:8" x14ac:dyDescent="0.2">
      <c r="A22" s="1" t="s">
        <v>841</v>
      </c>
    </row>
    <row r="23" spans="1:8" x14ac:dyDescent="0.2">
      <c r="A23" s="1" t="s">
        <v>842</v>
      </c>
    </row>
    <row r="24" spans="1:8" x14ac:dyDescent="0.2">
      <c r="A24" s="1" t="s">
        <v>843</v>
      </c>
    </row>
    <row r="25" spans="1:8" x14ac:dyDescent="0.2">
      <c r="A25" s="1" t="s">
        <v>2612</v>
      </c>
    </row>
    <row r="26" spans="1:8" x14ac:dyDescent="0.2">
      <c r="A26" s="1" t="s">
        <v>844</v>
      </c>
    </row>
    <row r="27" spans="1:8" x14ac:dyDescent="0.2">
      <c r="A27" s="1" t="s">
        <v>845</v>
      </c>
    </row>
    <row r="29" spans="1:8" x14ac:dyDescent="0.2">
      <c r="A29" s="100" t="s">
        <v>846</v>
      </c>
      <c r="B29" s="100"/>
      <c r="C29" s="100"/>
      <c r="D29" s="100"/>
      <c r="E29" s="100"/>
      <c r="F29" s="100"/>
      <c r="G29" s="100"/>
      <c r="H29" s="100"/>
    </row>
    <row r="30" spans="1:8" x14ac:dyDescent="0.2">
      <c r="A30" s="1" t="s">
        <v>935</v>
      </c>
    </row>
    <row r="31" spans="1:8" x14ac:dyDescent="0.2">
      <c r="A31" s="1" t="s">
        <v>934</v>
      </c>
    </row>
    <row r="33" spans="1:9" x14ac:dyDescent="0.2">
      <c r="A33" s="1" t="s">
        <v>936</v>
      </c>
    </row>
    <row r="34" spans="1:9" x14ac:dyDescent="0.2">
      <c r="A34" s="1" t="s">
        <v>848</v>
      </c>
    </row>
    <row r="35" spans="1:9" x14ac:dyDescent="0.2">
      <c r="A35" s="1" t="s">
        <v>847</v>
      </c>
    </row>
    <row r="37" spans="1:9" x14ac:dyDescent="0.2">
      <c r="A37" s="1" t="s">
        <v>2613</v>
      </c>
    </row>
    <row r="38" spans="1:9" x14ac:dyDescent="0.2">
      <c r="A38" s="1" t="s">
        <v>849</v>
      </c>
    </row>
    <row r="39" spans="1:9" x14ac:dyDescent="0.2">
      <c r="A39" s="1" t="s">
        <v>850</v>
      </c>
    </row>
    <row r="43" spans="1:9" x14ac:dyDescent="0.2">
      <c r="I43" s="1" t="s">
        <v>2617</v>
      </c>
    </row>
    <row r="44" spans="1:9" x14ac:dyDescent="0.2">
      <c r="I44" s="1" t="s">
        <v>2618</v>
      </c>
    </row>
    <row r="45" spans="1:9" x14ac:dyDescent="0.2">
      <c r="I45" s="1" t="s">
        <v>2619</v>
      </c>
    </row>
    <row r="46" spans="1:9" x14ac:dyDescent="0.2">
      <c r="I46" s="1" t="s">
        <v>2620</v>
      </c>
    </row>
    <row r="47" spans="1:9" x14ac:dyDescent="0.2">
      <c r="I47" s="1" t="s">
        <v>2621</v>
      </c>
    </row>
    <row r="48" spans="1:9" x14ac:dyDescent="0.2">
      <c r="I48" s="1" t="s">
        <v>2622</v>
      </c>
    </row>
    <row r="49" spans="1:11" x14ac:dyDescent="0.2">
      <c r="I49" s="1" t="s">
        <v>2623</v>
      </c>
    </row>
    <row r="50" spans="1:11" x14ac:dyDescent="0.2">
      <c r="I50" s="1" t="s">
        <v>2624</v>
      </c>
    </row>
    <row r="57" spans="1:11" x14ac:dyDescent="0.2">
      <c r="D57" s="1" t="s">
        <v>2614</v>
      </c>
    </row>
    <row r="58" spans="1:11" x14ac:dyDescent="0.2">
      <c r="D58" s="1" t="s">
        <v>2615</v>
      </c>
    </row>
    <row r="59" spans="1:11" x14ac:dyDescent="0.2">
      <c r="D59" s="1" t="s">
        <v>2616</v>
      </c>
    </row>
    <row r="61" spans="1:11" x14ac:dyDescent="0.2">
      <c r="A61" s="1" t="s">
        <v>855</v>
      </c>
    </row>
    <row r="62" spans="1:11" ht="17" thickBot="1" x14ac:dyDescent="0.25">
      <c r="A62" s="1" t="s">
        <v>856</v>
      </c>
    </row>
    <row r="63" spans="1:11" x14ac:dyDescent="0.2">
      <c r="H63" s="53" t="s">
        <v>2625</v>
      </c>
      <c r="I63" s="23"/>
      <c r="J63" s="23"/>
      <c r="K63" s="35"/>
    </row>
    <row r="64" spans="1:11" x14ac:dyDescent="0.2">
      <c r="H64" s="26" t="s">
        <v>2626</v>
      </c>
      <c r="K64" s="36"/>
    </row>
    <row r="65" spans="1:11" x14ac:dyDescent="0.2">
      <c r="H65" s="26" t="s">
        <v>2627</v>
      </c>
      <c r="K65" s="36"/>
    </row>
    <row r="66" spans="1:11" x14ac:dyDescent="0.2">
      <c r="H66" s="26" t="s">
        <v>2628</v>
      </c>
      <c r="K66" s="36"/>
    </row>
    <row r="67" spans="1:11" x14ac:dyDescent="0.2">
      <c r="H67" s="26" t="s">
        <v>2629</v>
      </c>
      <c r="K67" s="36"/>
    </row>
    <row r="68" spans="1:11" ht="17" thickBot="1" x14ac:dyDescent="0.25">
      <c r="A68" s="3" t="s">
        <v>937</v>
      </c>
      <c r="H68" s="28" t="s">
        <v>2630</v>
      </c>
      <c r="I68" s="29"/>
      <c r="J68" s="29"/>
      <c r="K68" s="37"/>
    </row>
    <row r="74" spans="1:11" ht="17" thickBot="1" x14ac:dyDescent="0.25">
      <c r="A74" s="3" t="s">
        <v>938</v>
      </c>
    </row>
    <row r="75" spans="1:11" x14ac:dyDescent="0.2">
      <c r="A75" s="3"/>
      <c r="B75" s="109" t="s">
        <v>939</v>
      </c>
      <c r="C75" s="109" t="s">
        <v>939</v>
      </c>
      <c r="D75" s="109" t="s">
        <v>943</v>
      </c>
    </row>
    <row r="76" spans="1:11" x14ac:dyDescent="0.2">
      <c r="B76" s="110" t="s">
        <v>940</v>
      </c>
      <c r="C76" s="110" t="s">
        <v>940</v>
      </c>
      <c r="D76" s="110" t="s">
        <v>944</v>
      </c>
    </row>
    <row r="77" spans="1:11" ht="17" thickBot="1" x14ac:dyDescent="0.25">
      <c r="B77" s="111" t="s">
        <v>941</v>
      </c>
      <c r="C77" s="111" t="s">
        <v>942</v>
      </c>
      <c r="D77" s="111" t="s">
        <v>945</v>
      </c>
    </row>
    <row r="80" spans="1:11" x14ac:dyDescent="0.2">
      <c r="A80" s="100" t="s">
        <v>851</v>
      </c>
      <c r="B80" s="100"/>
      <c r="C80" s="100"/>
      <c r="D80" s="100"/>
      <c r="E80" s="100"/>
      <c r="F80" s="100"/>
      <c r="G80" s="100"/>
      <c r="H80" s="100"/>
    </row>
    <row r="81" spans="1:8" x14ac:dyDescent="0.2">
      <c r="A81" s="1" t="s">
        <v>852</v>
      </c>
    </row>
    <row r="82" spans="1:8" x14ac:dyDescent="0.2">
      <c r="A82" s="1" t="s">
        <v>853</v>
      </c>
    </row>
    <row r="83" spans="1:8" x14ac:dyDescent="0.2">
      <c r="A83" s="1" t="s">
        <v>854</v>
      </c>
    </row>
    <row r="85" spans="1:8" x14ac:dyDescent="0.2">
      <c r="A85" s="32" t="s">
        <v>857</v>
      </c>
      <c r="B85" s="32"/>
      <c r="C85" s="32"/>
      <c r="D85" s="32"/>
      <c r="E85" s="32"/>
      <c r="F85" s="32"/>
      <c r="G85" s="32"/>
      <c r="H85" s="32"/>
    </row>
    <row r="86" spans="1:8" x14ac:dyDescent="0.2">
      <c r="A86" s="1" t="s">
        <v>858</v>
      </c>
    </row>
    <row r="87" spans="1:8" x14ac:dyDescent="0.2">
      <c r="A87" s="1" t="s">
        <v>859</v>
      </c>
    </row>
    <row r="89" spans="1:8" x14ac:dyDescent="0.2">
      <c r="A89" s="32" t="s">
        <v>860</v>
      </c>
      <c r="B89" s="32"/>
      <c r="C89" s="32"/>
      <c r="D89" s="32"/>
      <c r="E89" s="32"/>
      <c r="F89" s="32"/>
      <c r="G89" s="32"/>
      <c r="H89" s="32"/>
    </row>
    <row r="90" spans="1:8" x14ac:dyDescent="0.2">
      <c r="A90" s="1" t="s">
        <v>861</v>
      </c>
    </row>
    <row r="91" spans="1:8" x14ac:dyDescent="0.2">
      <c r="A91" s="1" t="s">
        <v>862</v>
      </c>
    </row>
    <row r="92" spans="1:8" x14ac:dyDescent="0.2">
      <c r="A92" s="1" t="s">
        <v>863</v>
      </c>
    </row>
    <row r="93" spans="1:8" x14ac:dyDescent="0.2">
      <c r="A93" s="1" t="s">
        <v>864</v>
      </c>
    </row>
    <row r="94" spans="1:8" x14ac:dyDescent="0.2">
      <c r="A94" s="1" t="s">
        <v>865</v>
      </c>
    </row>
    <row r="95" spans="1:8" x14ac:dyDescent="0.2">
      <c r="A95" s="1" t="s">
        <v>866</v>
      </c>
    </row>
    <row r="96" spans="1:8" x14ac:dyDescent="0.2">
      <c r="A96" s="1" t="s">
        <v>867</v>
      </c>
    </row>
    <row r="97" spans="1:9" x14ac:dyDescent="0.2">
      <c r="A97" s="1" t="s">
        <v>868</v>
      </c>
    </row>
    <row r="99" spans="1:9" x14ac:dyDescent="0.2">
      <c r="A99" s="32" t="s">
        <v>184</v>
      </c>
      <c r="B99" s="32"/>
      <c r="C99" s="32"/>
      <c r="D99" s="32"/>
      <c r="E99" s="32"/>
      <c r="F99" s="32"/>
      <c r="G99" s="32"/>
      <c r="H99" s="32"/>
    </row>
    <row r="100" spans="1:9" x14ac:dyDescent="0.2">
      <c r="A100" s="1" t="s">
        <v>869</v>
      </c>
    </row>
    <row r="101" spans="1:9" x14ac:dyDescent="0.2">
      <c r="A101" s="1" t="s">
        <v>870</v>
      </c>
    </row>
    <row r="102" spans="1:9" ht="17" thickBot="1" x14ac:dyDescent="0.25"/>
    <row r="103" spans="1:9" x14ac:dyDescent="0.2">
      <c r="B103" s="53" t="s">
        <v>946</v>
      </c>
      <c r="C103" s="35"/>
      <c r="E103" s="53" t="s">
        <v>947</v>
      </c>
      <c r="F103" s="23"/>
      <c r="G103" s="23"/>
      <c r="H103" s="35"/>
    </row>
    <row r="104" spans="1:9" ht="17" thickBot="1" x14ac:dyDescent="0.25">
      <c r="B104" s="188" t="s">
        <v>897</v>
      </c>
      <c r="C104" s="334">
        <v>150000</v>
      </c>
      <c r="E104" s="188" t="s">
        <v>948</v>
      </c>
      <c r="F104" s="29"/>
      <c r="G104" s="29"/>
      <c r="H104" s="334">
        <f>C104</f>
        <v>150000</v>
      </c>
      <c r="I104" s="1" t="s">
        <v>2631</v>
      </c>
    </row>
    <row r="105" spans="1:9" x14ac:dyDescent="0.2">
      <c r="C105" s="8"/>
      <c r="H105" s="8"/>
    </row>
    <row r="106" spans="1:9" x14ac:dyDescent="0.2">
      <c r="A106" s="1" t="s">
        <v>871</v>
      </c>
    </row>
    <row r="107" spans="1:9" x14ac:dyDescent="0.2">
      <c r="A107" s="1" t="s">
        <v>872</v>
      </c>
    </row>
    <row r="108" spans="1:9" x14ac:dyDescent="0.2">
      <c r="A108" s="1" t="s">
        <v>873</v>
      </c>
    </row>
    <row r="109" spans="1:9" x14ac:dyDescent="0.2">
      <c r="A109" s="1" t="s">
        <v>874</v>
      </c>
    </row>
    <row r="110" spans="1:9" x14ac:dyDescent="0.2">
      <c r="A110" s="1" t="s">
        <v>875</v>
      </c>
    </row>
    <row r="112" spans="1:9" x14ac:dyDescent="0.2">
      <c r="A112" s="1" t="s">
        <v>876</v>
      </c>
    </row>
    <row r="113" spans="1:8" x14ac:dyDescent="0.2">
      <c r="A113" s="1" t="s">
        <v>877</v>
      </c>
    </row>
    <row r="114" spans="1:8" x14ac:dyDescent="0.2">
      <c r="A114" s="1" t="s">
        <v>878</v>
      </c>
    </row>
    <row r="116" spans="1:8" x14ac:dyDescent="0.2">
      <c r="A116" s="32" t="s">
        <v>190</v>
      </c>
      <c r="B116" s="33"/>
      <c r="C116" s="33"/>
      <c r="D116" s="33"/>
      <c r="E116" s="33"/>
      <c r="F116" s="33"/>
      <c r="G116" s="33"/>
      <c r="H116" s="33"/>
    </row>
    <row r="118" spans="1:8" x14ac:dyDescent="0.2">
      <c r="A118" s="102" t="s">
        <v>879</v>
      </c>
      <c r="F118" s="103"/>
    </row>
    <row r="119" spans="1:8" x14ac:dyDescent="0.2">
      <c r="F119" s="103"/>
    </row>
    <row r="120" spans="1:8" x14ac:dyDescent="0.2">
      <c r="A120" s="1" t="s">
        <v>880</v>
      </c>
      <c r="C120" s="1" t="s">
        <v>881</v>
      </c>
      <c r="F120" s="103">
        <v>120000</v>
      </c>
    </row>
    <row r="121" spans="1:8" x14ac:dyDescent="0.2">
      <c r="C121" s="1" t="s">
        <v>882</v>
      </c>
      <c r="F121" s="103">
        <f>F120</f>
        <v>120000</v>
      </c>
    </row>
    <row r="122" spans="1:8" x14ac:dyDescent="0.2">
      <c r="F122" s="103"/>
    </row>
    <row r="123" spans="1:8" x14ac:dyDescent="0.2">
      <c r="A123" s="1" t="s">
        <v>883</v>
      </c>
      <c r="F123" s="103"/>
    </row>
    <row r="124" spans="1:8" x14ac:dyDescent="0.2">
      <c r="A124" s="1" t="s">
        <v>884</v>
      </c>
      <c r="F124" s="103"/>
    </row>
    <row r="125" spans="1:8" x14ac:dyDescent="0.2">
      <c r="A125" s="1" t="s">
        <v>885</v>
      </c>
      <c r="F125" s="103"/>
    </row>
    <row r="126" spans="1:8" x14ac:dyDescent="0.2">
      <c r="F126" s="103"/>
    </row>
    <row r="127" spans="1:8" x14ac:dyDescent="0.2">
      <c r="B127" s="1" t="s">
        <v>886</v>
      </c>
      <c r="F127" s="103">
        <v>120000</v>
      </c>
      <c r="G127" s="1" t="s">
        <v>2633</v>
      </c>
    </row>
    <row r="128" spans="1:8" x14ac:dyDescent="0.2">
      <c r="B128" s="1" t="s">
        <v>887</v>
      </c>
      <c r="F128" s="103">
        <f>F127</f>
        <v>120000</v>
      </c>
      <c r="G128" s="1" t="s">
        <v>2634</v>
      </c>
    </row>
    <row r="129" spans="1:8" x14ac:dyDescent="0.2">
      <c r="F129" s="103"/>
    </row>
    <row r="130" spans="1:8" x14ac:dyDescent="0.2">
      <c r="F130" s="103"/>
      <c r="H130" s="1" t="s">
        <v>2635</v>
      </c>
    </row>
    <row r="131" spans="1:8" x14ac:dyDescent="0.2">
      <c r="D131" s="1" t="s">
        <v>2632</v>
      </c>
      <c r="F131" s="103"/>
      <c r="H131" s="1" t="s">
        <v>2636</v>
      </c>
    </row>
    <row r="132" spans="1:8" x14ac:dyDescent="0.2">
      <c r="F132" s="103"/>
      <c r="H132" s="1" t="s">
        <v>2637</v>
      </c>
    </row>
    <row r="133" spans="1:8" x14ac:dyDescent="0.2">
      <c r="F133" s="103"/>
      <c r="H133" s="1" t="s">
        <v>2638</v>
      </c>
    </row>
    <row r="134" spans="1:8" x14ac:dyDescent="0.2">
      <c r="F134" s="103"/>
    </row>
    <row r="135" spans="1:8" x14ac:dyDescent="0.2">
      <c r="F135" s="103"/>
      <c r="H135" s="1" t="s">
        <v>2639</v>
      </c>
    </row>
    <row r="136" spans="1:8" x14ac:dyDescent="0.2">
      <c r="F136" s="103"/>
      <c r="H136" s="1" t="s">
        <v>2640</v>
      </c>
    </row>
    <row r="137" spans="1:8" x14ac:dyDescent="0.2">
      <c r="F137" s="103"/>
      <c r="H137" s="1" t="s">
        <v>2641</v>
      </c>
    </row>
    <row r="138" spans="1:8" x14ac:dyDescent="0.2">
      <c r="F138" s="103"/>
    </row>
    <row r="139" spans="1:8" ht="17" thickBot="1" x14ac:dyDescent="0.25">
      <c r="E139" s="1" t="s">
        <v>2648</v>
      </c>
      <c r="F139" s="103"/>
    </row>
    <row r="140" spans="1:8" ht="17" thickBot="1" x14ac:dyDescent="0.25">
      <c r="A140" s="66" t="s">
        <v>951</v>
      </c>
      <c r="B140" s="335" t="s">
        <v>946</v>
      </c>
      <c r="C140" s="335"/>
      <c r="D140" s="67"/>
      <c r="E140" s="336" t="s">
        <v>947</v>
      </c>
      <c r="F140" s="336"/>
      <c r="G140" s="336"/>
      <c r="H140" s="337"/>
    </row>
    <row r="141" spans="1:8" x14ac:dyDescent="0.2">
      <c r="A141" s="26" t="s">
        <v>952</v>
      </c>
      <c r="B141" s="77" t="s">
        <v>897</v>
      </c>
      <c r="C141" s="8">
        <v>30000</v>
      </c>
      <c r="E141" s="77" t="s">
        <v>948</v>
      </c>
      <c r="H141" s="113">
        <f>C141</f>
        <v>30000</v>
      </c>
    </row>
    <row r="142" spans="1:8" ht="17" thickBot="1" x14ac:dyDescent="0.25">
      <c r="A142" s="28" t="s">
        <v>953</v>
      </c>
      <c r="B142" s="29" t="s">
        <v>949</v>
      </c>
      <c r="C142" s="114">
        <f>F127</f>
        <v>120000</v>
      </c>
      <c r="D142" s="29"/>
      <c r="E142" s="29" t="s">
        <v>950</v>
      </c>
      <c r="F142" s="115"/>
      <c r="G142" s="29"/>
      <c r="H142" s="116">
        <f>C142</f>
        <v>120000</v>
      </c>
    </row>
    <row r="143" spans="1:8" x14ac:dyDescent="0.2">
      <c r="F143" s="103"/>
    </row>
    <row r="144" spans="1:8" x14ac:dyDescent="0.2">
      <c r="A144" s="3" t="s">
        <v>2643</v>
      </c>
      <c r="F144" s="103"/>
    </row>
    <row r="145" spans="1:8" x14ac:dyDescent="0.2">
      <c r="A145" s="338" t="s">
        <v>2642</v>
      </c>
      <c r="F145" s="103"/>
    </row>
    <row r="146" spans="1:8" x14ac:dyDescent="0.2">
      <c r="F146" s="103"/>
    </row>
    <row r="147" spans="1:8" x14ac:dyDescent="0.2">
      <c r="A147" s="3" t="s">
        <v>2644</v>
      </c>
      <c r="F147" s="103"/>
    </row>
    <row r="148" spans="1:8" x14ac:dyDescent="0.2">
      <c r="A148" s="1" t="s">
        <v>954</v>
      </c>
      <c r="F148" s="103"/>
    </row>
    <row r="149" spans="1:8" x14ac:dyDescent="0.2">
      <c r="F149" s="103"/>
    </row>
    <row r="150" spans="1:8" x14ac:dyDescent="0.2">
      <c r="A150" s="1" t="s">
        <v>888</v>
      </c>
      <c r="C150" s="1" t="s">
        <v>889</v>
      </c>
      <c r="F150" s="103">
        <f>120000/5</f>
        <v>24000</v>
      </c>
      <c r="G150" s="55" t="s">
        <v>908</v>
      </c>
    </row>
    <row r="151" spans="1:8" x14ac:dyDescent="0.2">
      <c r="C151" s="1" t="s">
        <v>2653</v>
      </c>
      <c r="F151" s="103">
        <f>F150</f>
        <v>24000</v>
      </c>
    </row>
    <row r="152" spans="1:8" x14ac:dyDescent="0.2">
      <c r="F152" s="103"/>
    </row>
    <row r="153" spans="1:8" x14ac:dyDescent="0.2">
      <c r="A153" s="1" t="s">
        <v>2645</v>
      </c>
      <c r="F153" s="103"/>
    </row>
    <row r="154" spans="1:8" x14ac:dyDescent="0.2">
      <c r="A154" s="1" t="s">
        <v>2646</v>
      </c>
      <c r="F154" s="103"/>
    </row>
    <row r="155" spans="1:8" x14ac:dyDescent="0.2">
      <c r="A155" s="1" t="s">
        <v>2647</v>
      </c>
      <c r="F155" s="103"/>
    </row>
    <row r="156" spans="1:8" x14ac:dyDescent="0.2">
      <c r="A156" s="1" t="s">
        <v>2649</v>
      </c>
      <c r="F156" s="103"/>
    </row>
    <row r="157" spans="1:8" x14ac:dyDescent="0.2">
      <c r="A157" s="3" t="s">
        <v>890</v>
      </c>
      <c r="F157" s="103"/>
    </row>
    <row r="158" spans="1:8" x14ac:dyDescent="0.2">
      <c r="B158" s="1" t="s">
        <v>891</v>
      </c>
      <c r="F158" s="103">
        <v>24000</v>
      </c>
      <c r="G158" s="2" t="s">
        <v>2650</v>
      </c>
      <c r="H158" s="1" t="s">
        <v>2651</v>
      </c>
    </row>
    <row r="159" spans="1:8" x14ac:dyDescent="0.2">
      <c r="B159" s="1" t="s">
        <v>892</v>
      </c>
      <c r="F159" s="103">
        <f>F158</f>
        <v>24000</v>
      </c>
      <c r="G159" s="2" t="s">
        <v>2650</v>
      </c>
      <c r="H159" s="1" t="s">
        <v>2652</v>
      </c>
    </row>
    <row r="160" spans="1:8" x14ac:dyDescent="0.2">
      <c r="F160" s="103"/>
    </row>
    <row r="161" spans="1:6" x14ac:dyDescent="0.2">
      <c r="F161" s="103"/>
    </row>
    <row r="162" spans="1:6" x14ac:dyDescent="0.2">
      <c r="F162" s="103"/>
    </row>
    <row r="163" spans="1:6" x14ac:dyDescent="0.2">
      <c r="F163" s="103"/>
    </row>
    <row r="164" spans="1:6" x14ac:dyDescent="0.2">
      <c r="F164" s="103"/>
    </row>
    <row r="165" spans="1:6" x14ac:dyDescent="0.2">
      <c r="F165" s="103"/>
    </row>
    <row r="166" spans="1:6" x14ac:dyDescent="0.2">
      <c r="F166" s="103"/>
    </row>
    <row r="167" spans="1:6" x14ac:dyDescent="0.2">
      <c r="F167" s="103"/>
    </row>
    <row r="168" spans="1:6" x14ac:dyDescent="0.2">
      <c r="F168" s="103"/>
    </row>
    <row r="169" spans="1:6" x14ac:dyDescent="0.2">
      <c r="F169" s="103"/>
    </row>
    <row r="170" spans="1:6" x14ac:dyDescent="0.2">
      <c r="F170" s="103"/>
    </row>
    <row r="171" spans="1:6" x14ac:dyDescent="0.2">
      <c r="F171" s="103"/>
    </row>
    <row r="172" spans="1:6" x14ac:dyDescent="0.2">
      <c r="A172" s="102" t="s">
        <v>893</v>
      </c>
      <c r="F172" s="103"/>
    </row>
    <row r="173" spans="1:6" x14ac:dyDescent="0.2">
      <c r="A173" s="1" t="s">
        <v>894</v>
      </c>
      <c r="F173" s="103">
        <v>-24000</v>
      </c>
    </row>
    <row r="174" spans="1:6" x14ac:dyDescent="0.2">
      <c r="F174" s="103"/>
    </row>
    <row r="175" spans="1:6" x14ac:dyDescent="0.2">
      <c r="A175" s="118" t="s">
        <v>957</v>
      </c>
      <c r="F175" s="103"/>
    </row>
    <row r="176" spans="1:6" ht="19" x14ac:dyDescent="0.35">
      <c r="A176" s="104" t="s">
        <v>946</v>
      </c>
      <c r="F176" s="117" t="s">
        <v>956</v>
      </c>
    </row>
    <row r="177" spans="1:10" x14ac:dyDescent="0.2">
      <c r="A177" s="1" t="s">
        <v>897</v>
      </c>
      <c r="C177" s="103">
        <v>30000</v>
      </c>
      <c r="F177" s="1" t="s">
        <v>896</v>
      </c>
      <c r="J177" s="103">
        <v>30000</v>
      </c>
    </row>
    <row r="178" spans="1:10" x14ac:dyDescent="0.2">
      <c r="A178" s="1" t="s">
        <v>895</v>
      </c>
      <c r="C178" s="103">
        <f>120000-24000</f>
        <v>96000</v>
      </c>
      <c r="D178" s="55" t="s">
        <v>955</v>
      </c>
      <c r="F178" s="1" t="s">
        <v>898</v>
      </c>
      <c r="J178" s="103">
        <v>96000</v>
      </c>
    </row>
    <row r="180" spans="1:10" x14ac:dyDescent="0.2">
      <c r="F180" s="103"/>
    </row>
    <row r="181" spans="1:10" x14ac:dyDescent="0.2">
      <c r="A181" s="118" t="s">
        <v>958</v>
      </c>
      <c r="F181" s="103"/>
    </row>
    <row r="182" spans="1:10" x14ac:dyDescent="0.2">
      <c r="C182" s="108"/>
      <c r="D182" s="119" t="s">
        <v>959</v>
      </c>
      <c r="E182" s="119"/>
      <c r="F182" s="119"/>
    </row>
    <row r="183" spans="1:10" x14ac:dyDescent="0.2">
      <c r="D183" s="120" t="s">
        <v>960</v>
      </c>
      <c r="E183" s="105" t="s">
        <v>899</v>
      </c>
      <c r="F183" s="106"/>
    </row>
    <row r="184" spans="1:10" x14ac:dyDescent="0.2">
      <c r="D184" s="332" t="s">
        <v>900</v>
      </c>
      <c r="E184" s="332" t="s">
        <v>901</v>
      </c>
      <c r="F184" s="332"/>
    </row>
    <row r="185" spans="1:10" x14ac:dyDescent="0.2">
      <c r="A185" s="1" t="s">
        <v>902</v>
      </c>
      <c r="D185" s="333">
        <v>150000</v>
      </c>
      <c r="E185" s="333"/>
      <c r="F185" s="103"/>
    </row>
    <row r="186" spans="1:10" x14ac:dyDescent="0.2">
      <c r="A186" s="1" t="s">
        <v>903</v>
      </c>
      <c r="D186" s="333">
        <v>-120000</v>
      </c>
      <c r="E186" s="333">
        <v>120000</v>
      </c>
      <c r="F186" s="103"/>
    </row>
    <row r="187" spans="1:10" x14ac:dyDescent="0.2">
      <c r="A187" s="1" t="s">
        <v>961</v>
      </c>
      <c r="D187" s="341">
        <v>-24000</v>
      </c>
      <c r="E187" s="340"/>
      <c r="F187" s="103"/>
      <c r="G187" s="1" t="s">
        <v>963</v>
      </c>
    </row>
    <row r="188" spans="1:10" x14ac:dyDescent="0.2">
      <c r="A188" s="1" t="s">
        <v>962</v>
      </c>
      <c r="D188" s="339">
        <v>24000</v>
      </c>
      <c r="E188" s="339">
        <f>-D188</f>
        <v>-24000</v>
      </c>
      <c r="F188" s="103"/>
      <c r="G188" s="1" t="s">
        <v>904</v>
      </c>
    </row>
    <row r="189" spans="1:10" x14ac:dyDescent="0.2">
      <c r="A189" s="1" t="s">
        <v>905</v>
      </c>
      <c r="D189" s="333">
        <f>SUM(D185:D188)</f>
        <v>30000</v>
      </c>
      <c r="E189" s="333">
        <f>SUM(E185:E188)</f>
        <v>96000</v>
      </c>
      <c r="F189" s="103"/>
    </row>
    <row r="190" spans="1:10" ht="17" thickBot="1" x14ac:dyDescent="0.25">
      <c r="F190" s="103"/>
    </row>
    <row r="191" spans="1:10" x14ac:dyDescent="0.2">
      <c r="A191" s="53" t="s">
        <v>2654</v>
      </c>
      <c r="B191" s="23"/>
      <c r="C191" s="23"/>
      <c r="D191" s="23"/>
      <c r="E191" s="23"/>
      <c r="F191" s="342"/>
      <c r="G191" s="23"/>
      <c r="H191" s="35"/>
    </row>
    <row r="192" spans="1:10" x14ac:dyDescent="0.2">
      <c r="A192" s="26" t="s">
        <v>2655</v>
      </c>
      <c r="F192" s="122"/>
      <c r="H192" s="36"/>
    </row>
    <row r="193" spans="1:9" x14ac:dyDescent="0.2">
      <c r="A193" s="26" t="s">
        <v>2656</v>
      </c>
      <c r="F193" s="122"/>
      <c r="H193" s="36"/>
    </row>
    <row r="194" spans="1:9" x14ac:dyDescent="0.2">
      <c r="A194" s="26" t="s">
        <v>2657</v>
      </c>
      <c r="F194" s="122"/>
      <c r="H194" s="36"/>
    </row>
    <row r="195" spans="1:9" ht="17" thickBot="1" x14ac:dyDescent="0.25">
      <c r="A195" s="28" t="s">
        <v>2658</v>
      </c>
      <c r="B195" s="29"/>
      <c r="C195" s="29"/>
      <c r="D195" s="29"/>
      <c r="E195" s="29"/>
      <c r="F195" s="115"/>
      <c r="G195" s="29"/>
      <c r="H195" s="37"/>
    </row>
    <row r="196" spans="1:9" x14ac:dyDescent="0.2">
      <c r="F196" s="103"/>
    </row>
    <row r="197" spans="1:9" x14ac:dyDescent="0.2">
      <c r="A197" s="102" t="s">
        <v>906</v>
      </c>
      <c r="F197" s="103"/>
    </row>
    <row r="198" spans="1:9" x14ac:dyDescent="0.2">
      <c r="A198" s="77" t="s">
        <v>964</v>
      </c>
      <c r="F198" s="103"/>
    </row>
    <row r="199" spans="1:9" x14ac:dyDescent="0.2">
      <c r="A199" s="102"/>
      <c r="F199" s="103"/>
    </row>
    <row r="200" spans="1:9" x14ac:dyDescent="0.2">
      <c r="A200" s="102" t="s">
        <v>965</v>
      </c>
      <c r="F200" s="103"/>
    </row>
    <row r="201" spans="1:9" x14ac:dyDescent="0.2">
      <c r="A201" s="1" t="s">
        <v>121</v>
      </c>
      <c r="C201" s="103">
        <v>100000</v>
      </c>
      <c r="D201" s="1" t="s">
        <v>787</v>
      </c>
      <c r="F201" s="103"/>
    </row>
    <row r="202" spans="1:9" ht="19" x14ac:dyDescent="0.35">
      <c r="A202" s="1" t="s">
        <v>907</v>
      </c>
      <c r="C202" s="107">
        <v>-96000</v>
      </c>
      <c r="E202" s="1" t="s">
        <v>966</v>
      </c>
      <c r="F202" s="103"/>
    </row>
    <row r="203" spans="1:9" x14ac:dyDescent="0.2">
      <c r="A203" s="1" t="s">
        <v>822</v>
      </c>
      <c r="C203" s="103">
        <f>SUM(C201:C202)</f>
        <v>4000</v>
      </c>
      <c r="D203" s="1" t="s">
        <v>967</v>
      </c>
      <c r="F203" s="103"/>
    </row>
    <row r="204" spans="1:9" x14ac:dyDescent="0.2">
      <c r="F204" s="103"/>
    </row>
    <row r="205" spans="1:9" x14ac:dyDescent="0.2">
      <c r="A205" s="3" t="s">
        <v>970</v>
      </c>
      <c r="E205" s="3" t="s">
        <v>971</v>
      </c>
      <c r="F205" s="103"/>
    </row>
    <row r="206" spans="1:9" x14ac:dyDescent="0.2">
      <c r="A206" s="1" t="s">
        <v>968</v>
      </c>
      <c r="C206" s="8">
        <v>24000</v>
      </c>
      <c r="E206" s="1" t="s">
        <v>2659</v>
      </c>
      <c r="H206" s="103">
        <v>4000</v>
      </c>
      <c r="I206" s="1" t="s">
        <v>975</v>
      </c>
    </row>
    <row r="207" spans="1:9" x14ac:dyDescent="0.2">
      <c r="A207" s="1" t="s">
        <v>969</v>
      </c>
      <c r="C207" s="8">
        <f>C206</f>
        <v>24000</v>
      </c>
      <c r="E207" s="1" t="s">
        <v>972</v>
      </c>
      <c r="F207" s="103"/>
      <c r="H207" s="112">
        <f>H206</f>
        <v>4000</v>
      </c>
      <c r="I207" s="1" t="s">
        <v>974</v>
      </c>
    </row>
    <row r="208" spans="1:9" x14ac:dyDescent="0.2">
      <c r="F208" s="103"/>
    </row>
    <row r="209" spans="1:10" x14ac:dyDescent="0.2">
      <c r="F209" s="103"/>
    </row>
    <row r="210" spans="1:10" x14ac:dyDescent="0.2">
      <c r="E210" s="1" t="s">
        <v>973</v>
      </c>
      <c r="F210" s="103"/>
    </row>
    <row r="211" spans="1:10" x14ac:dyDescent="0.2">
      <c r="F211" s="103"/>
    </row>
    <row r="212" spans="1:10" x14ac:dyDescent="0.2">
      <c r="A212" s="3" t="s">
        <v>976</v>
      </c>
      <c r="F212" s="103"/>
    </row>
    <row r="213" spans="1:10" ht="19" x14ac:dyDescent="0.35">
      <c r="A213" s="104" t="s">
        <v>946</v>
      </c>
      <c r="F213" s="117" t="s">
        <v>956</v>
      </c>
    </row>
    <row r="214" spans="1:10" x14ac:dyDescent="0.2">
      <c r="A214" s="1" t="s">
        <v>897</v>
      </c>
      <c r="C214" s="103">
        <v>30000</v>
      </c>
      <c r="F214" s="1" t="s">
        <v>896</v>
      </c>
      <c r="J214" s="103">
        <v>30000</v>
      </c>
    </row>
    <row r="215" spans="1:10" x14ac:dyDescent="0.2">
      <c r="A215" s="1" t="s">
        <v>895</v>
      </c>
      <c r="C215" s="103">
        <f>C201</f>
        <v>100000</v>
      </c>
      <c r="D215" s="55"/>
      <c r="F215" s="1" t="s">
        <v>898</v>
      </c>
      <c r="J215" s="103">
        <f>C215</f>
        <v>100000</v>
      </c>
    </row>
    <row r="216" spans="1:10" x14ac:dyDescent="0.2">
      <c r="F216" s="103"/>
    </row>
    <row r="217" spans="1:10" x14ac:dyDescent="0.2">
      <c r="A217" s="118" t="s">
        <v>958</v>
      </c>
      <c r="F217" s="103"/>
    </row>
    <row r="218" spans="1:10" x14ac:dyDescent="0.2">
      <c r="C218" s="108"/>
      <c r="D218" s="119" t="s">
        <v>959</v>
      </c>
      <c r="E218" s="119"/>
      <c r="F218" s="119"/>
    </row>
    <row r="219" spans="1:10" x14ac:dyDescent="0.2">
      <c r="D219" s="120" t="s">
        <v>960</v>
      </c>
      <c r="E219" s="105" t="s">
        <v>899</v>
      </c>
      <c r="F219" s="106"/>
    </row>
    <row r="220" spans="1:10" x14ac:dyDescent="0.2">
      <c r="D220" s="119" t="s">
        <v>900</v>
      </c>
      <c r="E220" s="119" t="s">
        <v>901</v>
      </c>
      <c r="F220" s="119"/>
      <c r="H220" s="1" t="s">
        <v>2660</v>
      </c>
    </row>
    <row r="221" spans="1:10" x14ac:dyDescent="0.2">
      <c r="A221" s="1" t="s">
        <v>902</v>
      </c>
      <c r="D221" s="103">
        <v>150000</v>
      </c>
      <c r="E221" s="103"/>
      <c r="F221" s="103"/>
      <c r="H221" s="1" t="s">
        <v>2661</v>
      </c>
    </row>
    <row r="222" spans="1:10" x14ac:dyDescent="0.2">
      <c r="A222" s="1" t="s">
        <v>903</v>
      </c>
      <c r="D222" s="103">
        <v>-120000</v>
      </c>
      <c r="E222" s="103">
        <v>120000</v>
      </c>
      <c r="F222" s="103"/>
      <c r="H222" s="1" t="s">
        <v>2662</v>
      </c>
    </row>
    <row r="223" spans="1:10" x14ac:dyDescent="0.2">
      <c r="A223" s="1" t="s">
        <v>961</v>
      </c>
      <c r="D223" s="122">
        <v>-24000</v>
      </c>
      <c r="E223" s="122"/>
      <c r="F223" s="103"/>
      <c r="H223" s="1" t="s">
        <v>2663</v>
      </c>
    </row>
    <row r="224" spans="1:10" x14ac:dyDescent="0.2">
      <c r="A224" s="1" t="s">
        <v>962</v>
      </c>
      <c r="D224" s="121">
        <v>24000</v>
      </c>
      <c r="E224" s="121">
        <f>-D224</f>
        <v>-24000</v>
      </c>
      <c r="F224" s="103"/>
      <c r="H224" s="1" t="s">
        <v>2664</v>
      </c>
    </row>
    <row r="225" spans="1:8" x14ac:dyDescent="0.2">
      <c r="A225" s="1" t="s">
        <v>977</v>
      </c>
      <c r="D225" s="123"/>
      <c r="E225" s="123">
        <v>4000</v>
      </c>
      <c r="H225" s="1" t="s">
        <v>2665</v>
      </c>
    </row>
    <row r="226" spans="1:8" x14ac:dyDescent="0.2">
      <c r="A226" s="1" t="s">
        <v>905</v>
      </c>
      <c r="D226" s="103">
        <f>SUM(D221:D224)</f>
        <v>30000</v>
      </c>
      <c r="E226" s="103">
        <f>SUM(E222:E225)</f>
        <v>100000</v>
      </c>
      <c r="F226" s="103"/>
    </row>
    <row r="227" spans="1:8" x14ac:dyDescent="0.2">
      <c r="F227" s="103"/>
    </row>
    <row r="228" spans="1:8" x14ac:dyDescent="0.2">
      <c r="F228" s="103"/>
    </row>
    <row r="229" spans="1:8" x14ac:dyDescent="0.2">
      <c r="A229" s="100" t="s">
        <v>909</v>
      </c>
      <c r="B229" s="100"/>
      <c r="C229" s="100"/>
      <c r="D229" s="100"/>
      <c r="E229" s="100"/>
      <c r="F229" s="100"/>
      <c r="G229" s="100"/>
      <c r="H229" s="100"/>
    </row>
    <row r="230" spans="1:8" x14ac:dyDescent="0.2">
      <c r="A230" s="1" t="s">
        <v>910</v>
      </c>
    </row>
    <row r="231" spans="1:8" x14ac:dyDescent="0.2">
      <c r="A231" s="1" t="s">
        <v>911</v>
      </c>
    </row>
    <row r="232" spans="1:8" x14ac:dyDescent="0.2">
      <c r="A232" s="1" t="s">
        <v>912</v>
      </c>
    </row>
    <row r="234" spans="1:8" x14ac:dyDescent="0.2">
      <c r="A234" s="3" t="s">
        <v>913</v>
      </c>
    </row>
    <row r="235" spans="1:8" x14ac:dyDescent="0.2">
      <c r="A235" s="3" t="s">
        <v>914</v>
      </c>
    </row>
    <row r="237" spans="1:8" x14ac:dyDescent="0.2">
      <c r="A237" s="16" t="s">
        <v>2666</v>
      </c>
      <c r="B237" s="16"/>
      <c r="C237" s="16"/>
    </row>
    <row r="238" spans="1:8" x14ac:dyDescent="0.2">
      <c r="B238" s="1" t="s">
        <v>2667</v>
      </c>
    </row>
    <row r="239" spans="1:8" x14ac:dyDescent="0.2">
      <c r="B239" s="1" t="s">
        <v>2668</v>
      </c>
    </row>
    <row r="240" spans="1:8" x14ac:dyDescent="0.2">
      <c r="B240" s="1" t="s">
        <v>2669</v>
      </c>
    </row>
    <row r="242" spans="1:8" x14ac:dyDescent="0.2">
      <c r="A242" s="1" t="s">
        <v>1020</v>
      </c>
      <c r="B242" s="1" t="s">
        <v>2670</v>
      </c>
    </row>
    <row r="243" spans="1:8" x14ac:dyDescent="0.2">
      <c r="B243" s="1" t="s">
        <v>2671</v>
      </c>
    </row>
    <row r="246" spans="1:8" x14ac:dyDescent="0.2">
      <c r="A246" s="100" t="s">
        <v>915</v>
      </c>
      <c r="B246" s="100"/>
      <c r="C246" s="100"/>
      <c r="D246" s="100"/>
      <c r="E246" s="100"/>
      <c r="F246" s="100"/>
      <c r="G246" s="100"/>
      <c r="H246" s="100"/>
    </row>
    <row r="247" spans="1:8" x14ac:dyDescent="0.2">
      <c r="A247" s="1" t="s">
        <v>916</v>
      </c>
    </row>
    <row r="248" spans="1:8" x14ac:dyDescent="0.2">
      <c r="A248" s="1" t="s">
        <v>917</v>
      </c>
    </row>
    <row r="249" spans="1:8" x14ac:dyDescent="0.2">
      <c r="A249" s="1" t="s">
        <v>918</v>
      </c>
    </row>
    <row r="250" spans="1:8" x14ac:dyDescent="0.2">
      <c r="A250" s="1" t="s">
        <v>919</v>
      </c>
    </row>
    <row r="252" spans="1:8" x14ac:dyDescent="0.2">
      <c r="A252" s="1" t="s">
        <v>920</v>
      </c>
    </row>
    <row r="253" spans="1:8" x14ac:dyDescent="0.2">
      <c r="A253" s="1" t="s">
        <v>921</v>
      </c>
    </row>
    <row r="254" spans="1:8" x14ac:dyDescent="0.2">
      <c r="A254" s="1" t="s">
        <v>922</v>
      </c>
    </row>
    <row r="255" spans="1:8" x14ac:dyDescent="0.2">
      <c r="A255" s="1" t="s">
        <v>923</v>
      </c>
    </row>
    <row r="257" spans="1:8" x14ac:dyDescent="0.2">
      <c r="A257" s="1" t="s">
        <v>924</v>
      </c>
    </row>
    <row r="258" spans="1:8" x14ac:dyDescent="0.2">
      <c r="A258" s="1" t="s">
        <v>925</v>
      </c>
    </row>
    <row r="259" spans="1:8" x14ac:dyDescent="0.2">
      <c r="A259" s="1" t="s">
        <v>926</v>
      </c>
    </row>
    <row r="260" spans="1:8" x14ac:dyDescent="0.2">
      <c r="A260" s="1" t="s">
        <v>927</v>
      </c>
    </row>
    <row r="262" spans="1:8" x14ac:dyDescent="0.2">
      <c r="A262" s="1" t="s">
        <v>2672</v>
      </c>
    </row>
    <row r="263" spans="1:8" x14ac:dyDescent="0.2">
      <c r="A263" s="1" t="s">
        <v>2673</v>
      </c>
    </row>
    <row r="264" spans="1:8" x14ac:dyDescent="0.2">
      <c r="A264" s="1" t="s">
        <v>2674</v>
      </c>
    </row>
    <row r="265" spans="1:8" x14ac:dyDescent="0.2">
      <c r="A265" s="1" t="s">
        <v>2675</v>
      </c>
    </row>
    <row r="266" spans="1:8" x14ac:dyDescent="0.2">
      <c r="A266" s="1" t="s">
        <v>2676</v>
      </c>
    </row>
    <row r="268" spans="1:8" x14ac:dyDescent="0.2">
      <c r="A268" s="1" t="s">
        <v>2677</v>
      </c>
      <c r="D268" s="1" t="s">
        <v>2678</v>
      </c>
    </row>
    <row r="270" spans="1:8" x14ac:dyDescent="0.2">
      <c r="A270" s="100" t="s">
        <v>928</v>
      </c>
      <c r="B270" s="100"/>
      <c r="C270" s="100"/>
      <c r="D270" s="100"/>
      <c r="E270" s="100"/>
      <c r="F270" s="100"/>
      <c r="G270" s="100"/>
      <c r="H270" s="100"/>
    </row>
    <row r="271" spans="1:8" x14ac:dyDescent="0.2">
      <c r="A271" s="1" t="s">
        <v>929</v>
      </c>
    </row>
    <row r="272" spans="1:8" x14ac:dyDescent="0.2">
      <c r="A272" s="1" t="s">
        <v>930</v>
      </c>
    </row>
    <row r="274" spans="1:8" x14ac:dyDescent="0.2">
      <c r="A274" s="100" t="s">
        <v>364</v>
      </c>
      <c r="B274" s="100"/>
      <c r="C274" s="100"/>
      <c r="D274" s="100"/>
      <c r="E274" s="100"/>
      <c r="F274" s="100"/>
      <c r="G274" s="100"/>
      <c r="H274" s="100"/>
    </row>
    <row r="275" spans="1:8" x14ac:dyDescent="0.2">
      <c r="A275" s="1" t="s">
        <v>978</v>
      </c>
    </row>
    <row r="277" spans="1:8" x14ac:dyDescent="0.2">
      <c r="A277" s="1" t="s">
        <v>979</v>
      </c>
    </row>
    <row r="278" spans="1:8" x14ac:dyDescent="0.2">
      <c r="A278" s="1" t="s">
        <v>980</v>
      </c>
    </row>
    <row r="279" spans="1:8" x14ac:dyDescent="0.2">
      <c r="A279" s="1" t="s">
        <v>981</v>
      </c>
    </row>
    <row r="281" spans="1:8" x14ac:dyDescent="0.2">
      <c r="A281" s="3" t="s">
        <v>982</v>
      </c>
      <c r="B281" s="3"/>
      <c r="C281" s="3"/>
      <c r="D281" s="3"/>
      <c r="E281" s="3"/>
      <c r="F281" s="3"/>
      <c r="G281" s="3"/>
      <c r="H281" s="3"/>
    </row>
    <row r="282" spans="1:8" x14ac:dyDescent="0.2">
      <c r="A282" s="3" t="s">
        <v>983</v>
      </c>
      <c r="B282" s="3"/>
      <c r="C282" s="3"/>
      <c r="D282" s="3"/>
      <c r="E282" s="3"/>
      <c r="F282" s="3"/>
      <c r="G282" s="3"/>
      <c r="H282" s="3"/>
    </row>
    <row r="283" spans="1:8" x14ac:dyDescent="0.2">
      <c r="A283" s="1" t="s">
        <v>984</v>
      </c>
    </row>
    <row r="284" spans="1:8" x14ac:dyDescent="0.2">
      <c r="A284" s="1" t="s">
        <v>985</v>
      </c>
    </row>
    <row r="285" spans="1:8" x14ac:dyDescent="0.2">
      <c r="A285" s="1" t="s">
        <v>986</v>
      </c>
    </row>
    <row r="287" spans="1:8" x14ac:dyDescent="0.2">
      <c r="A287" s="1" t="s">
        <v>987</v>
      </c>
    </row>
    <row r="288" spans="1:8" x14ac:dyDescent="0.2">
      <c r="B288" s="1" t="s">
        <v>988</v>
      </c>
    </row>
    <row r="289" spans="1:8" x14ac:dyDescent="0.2">
      <c r="B289" s="1" t="s">
        <v>989</v>
      </c>
    </row>
    <row r="291" spans="1:8" x14ac:dyDescent="0.2">
      <c r="A291" s="1" t="s">
        <v>990</v>
      </c>
    </row>
    <row r="292" spans="1:8" x14ac:dyDescent="0.2">
      <c r="B292" s="1" t="s">
        <v>988</v>
      </c>
    </row>
    <row r="293" spans="1:8" x14ac:dyDescent="0.2">
      <c r="B293" s="1" t="s">
        <v>991</v>
      </c>
    </row>
    <row r="295" spans="1:8" x14ac:dyDescent="0.2">
      <c r="A295" s="1" t="s">
        <v>992</v>
      </c>
    </row>
    <row r="296" spans="1:8" x14ac:dyDescent="0.2">
      <c r="A296" s="1" t="s">
        <v>2679</v>
      </c>
    </row>
    <row r="297" spans="1:8" x14ac:dyDescent="0.2">
      <c r="A297" s="1" t="s">
        <v>993</v>
      </c>
    </row>
    <row r="299" spans="1:8" x14ac:dyDescent="0.2">
      <c r="B299" s="1" t="s">
        <v>994</v>
      </c>
    </row>
    <row r="300" spans="1:8" x14ac:dyDescent="0.2">
      <c r="B300" s="1" t="s">
        <v>995</v>
      </c>
    </row>
    <row r="302" spans="1:8" x14ac:dyDescent="0.2">
      <c r="A302" s="32" t="s">
        <v>1011</v>
      </c>
      <c r="B302" s="32"/>
      <c r="C302" s="32"/>
      <c r="D302" s="32"/>
      <c r="E302" s="32"/>
      <c r="F302" s="32"/>
      <c r="G302" s="32"/>
      <c r="H302" s="32"/>
    </row>
    <row r="303" spans="1:8" x14ac:dyDescent="0.2">
      <c r="A303" s="1" t="s">
        <v>996</v>
      </c>
    </row>
    <row r="304" spans="1:8" x14ac:dyDescent="0.2">
      <c r="A304" s="1" t="s">
        <v>2681</v>
      </c>
    </row>
    <row r="305" spans="1:10" x14ac:dyDescent="0.2">
      <c r="A305" s="1" t="s">
        <v>997</v>
      </c>
    </row>
    <row r="306" spans="1:10" x14ac:dyDescent="0.2">
      <c r="A306" s="1" t="s">
        <v>2680</v>
      </c>
    </row>
    <row r="308" spans="1:10" x14ac:dyDescent="0.2">
      <c r="A308" s="32" t="s">
        <v>206</v>
      </c>
      <c r="B308" s="32"/>
      <c r="C308" s="32"/>
      <c r="D308" s="32"/>
      <c r="E308" s="32"/>
      <c r="F308" s="32"/>
      <c r="G308" s="32"/>
      <c r="H308" s="32"/>
    </row>
    <row r="310" spans="1:10" x14ac:dyDescent="0.2">
      <c r="A310" s="7">
        <v>44652</v>
      </c>
      <c r="B310" s="1" t="s">
        <v>998</v>
      </c>
    </row>
    <row r="311" spans="1:10" x14ac:dyDescent="0.2">
      <c r="G311" s="16" t="s">
        <v>2682</v>
      </c>
      <c r="H311" s="16"/>
      <c r="I311" s="16"/>
      <c r="J311" s="16"/>
    </row>
    <row r="312" spans="1:10" x14ac:dyDescent="0.2">
      <c r="B312" s="1" t="s">
        <v>988</v>
      </c>
      <c r="E312" s="8">
        <v>80000</v>
      </c>
      <c r="G312" s="1" t="s">
        <v>2684</v>
      </c>
      <c r="J312" s="14">
        <v>80000</v>
      </c>
    </row>
    <row r="313" spans="1:10" ht="17" thickBot="1" x14ac:dyDescent="0.25">
      <c r="B313" s="1" t="s">
        <v>991</v>
      </c>
      <c r="E313" s="8">
        <f>E312</f>
        <v>80000</v>
      </c>
      <c r="G313" s="1" t="s">
        <v>2683</v>
      </c>
      <c r="J313" s="14">
        <f>E315</f>
        <v>95000</v>
      </c>
    </row>
    <row r="314" spans="1:10" ht="17" thickBot="1" x14ac:dyDescent="0.25">
      <c r="G314" s="1" t="s">
        <v>2685</v>
      </c>
      <c r="J314" s="343">
        <f>J312-J313</f>
        <v>-15000</v>
      </c>
    </row>
    <row r="315" spans="1:10" x14ac:dyDescent="0.2">
      <c r="A315" s="7">
        <v>44743</v>
      </c>
      <c r="B315" s="1" t="s">
        <v>999</v>
      </c>
      <c r="E315" s="8">
        <v>95000</v>
      </c>
    </row>
    <row r="316" spans="1:10" x14ac:dyDescent="0.2">
      <c r="B316" s="1" t="s">
        <v>1000</v>
      </c>
      <c r="E316" s="8">
        <f>E315</f>
        <v>95000</v>
      </c>
      <c r="G316" s="16" t="s">
        <v>2689</v>
      </c>
      <c r="H316" s="16"/>
      <c r="I316" s="16"/>
      <c r="J316" s="16"/>
    </row>
    <row r="317" spans="1:10" x14ac:dyDescent="0.2">
      <c r="I317" s="2" t="s">
        <v>2686</v>
      </c>
      <c r="J317" s="2" t="s">
        <v>2687</v>
      </c>
    </row>
    <row r="318" spans="1:10" x14ac:dyDescent="0.2">
      <c r="B318" s="1" t="s">
        <v>1001</v>
      </c>
      <c r="I318" s="9" t="s">
        <v>900</v>
      </c>
      <c r="J318" s="9" t="s">
        <v>2688</v>
      </c>
    </row>
    <row r="319" spans="1:10" x14ac:dyDescent="0.2">
      <c r="B319" s="1" t="s">
        <v>994</v>
      </c>
      <c r="E319" s="8">
        <f>E313</f>
        <v>80000</v>
      </c>
      <c r="G319" s="1" t="s">
        <v>2690</v>
      </c>
      <c r="I319" s="2"/>
      <c r="J319" s="14">
        <f>E313</f>
        <v>80000</v>
      </c>
    </row>
    <row r="320" spans="1:10" x14ac:dyDescent="0.2">
      <c r="B320" s="1" t="s">
        <v>1002</v>
      </c>
      <c r="E320" s="8">
        <f>E319</f>
        <v>80000</v>
      </c>
      <c r="G320" s="1" t="s">
        <v>2691</v>
      </c>
      <c r="I320" s="11"/>
      <c r="J320" s="11">
        <f>-J319</f>
        <v>-80000</v>
      </c>
    </row>
    <row r="321" spans="1:10" x14ac:dyDescent="0.2">
      <c r="G321" s="1" t="s">
        <v>2685</v>
      </c>
      <c r="I321" s="11">
        <f>J314</f>
        <v>-15000</v>
      </c>
      <c r="J321" s="2"/>
    </row>
    <row r="322" spans="1:10" x14ac:dyDescent="0.2">
      <c r="B322" s="1" t="s">
        <v>1003</v>
      </c>
    </row>
    <row r="323" spans="1:10" x14ac:dyDescent="0.2">
      <c r="B323" s="1" t="s">
        <v>1004</v>
      </c>
    </row>
    <row r="324" spans="1:10" x14ac:dyDescent="0.2">
      <c r="B324" s="1" t="s">
        <v>1005</v>
      </c>
    </row>
    <row r="325" spans="1:10" x14ac:dyDescent="0.2">
      <c r="B325" s="1" t="s">
        <v>1006</v>
      </c>
    </row>
    <row r="326" spans="1:10" x14ac:dyDescent="0.2">
      <c r="B326" s="1" t="s">
        <v>1007</v>
      </c>
    </row>
    <row r="328" spans="1:10" x14ac:dyDescent="0.2">
      <c r="B328" s="1" t="s">
        <v>1008</v>
      </c>
    </row>
    <row r="329" spans="1:10" x14ac:dyDescent="0.2">
      <c r="B329" s="1" t="s">
        <v>1009</v>
      </c>
    </row>
    <row r="330" spans="1:10" x14ac:dyDescent="0.2">
      <c r="B330" s="1" t="s">
        <v>1010</v>
      </c>
    </row>
    <row r="332" spans="1:10" x14ac:dyDescent="0.2">
      <c r="A332" s="100" t="s">
        <v>1012</v>
      </c>
      <c r="B332" s="100"/>
      <c r="C332" s="100"/>
      <c r="D332" s="100"/>
      <c r="E332" s="100"/>
      <c r="F332" s="100"/>
      <c r="G332" s="100"/>
      <c r="H332" s="100"/>
    </row>
    <row r="333" spans="1:10" x14ac:dyDescent="0.2">
      <c r="A333" s="1" t="s">
        <v>2692</v>
      </c>
    </row>
    <row r="334" spans="1:10" x14ac:dyDescent="0.2">
      <c r="A334" s="1" t="s">
        <v>1013</v>
      </c>
    </row>
    <row r="335" spans="1:10" x14ac:dyDescent="0.2">
      <c r="A335" s="1" t="s">
        <v>1014</v>
      </c>
    </row>
    <row r="336" spans="1:10" x14ac:dyDescent="0.2">
      <c r="A336" s="1" t="s">
        <v>1015</v>
      </c>
    </row>
    <row r="338" spans="1:2" x14ac:dyDescent="0.2">
      <c r="A338" s="120" t="s">
        <v>2694</v>
      </c>
    </row>
    <row r="339" spans="1:2" x14ac:dyDescent="0.2">
      <c r="A339" s="120" t="s">
        <v>2693</v>
      </c>
    </row>
    <row r="341" spans="1:2" x14ac:dyDescent="0.2">
      <c r="A341" s="1" t="s">
        <v>1016</v>
      </c>
    </row>
    <row r="342" spans="1:2" x14ac:dyDescent="0.2">
      <c r="A342" s="1" t="s">
        <v>1017</v>
      </c>
    </row>
    <row r="344" spans="1:2" x14ac:dyDescent="0.2">
      <c r="A344" s="1" t="s">
        <v>1018</v>
      </c>
    </row>
    <row r="345" spans="1:2" x14ac:dyDescent="0.2">
      <c r="A345" s="1" t="s">
        <v>1019</v>
      </c>
    </row>
    <row r="347" spans="1:2" x14ac:dyDescent="0.2">
      <c r="A347" s="1" t="s">
        <v>2695</v>
      </c>
    </row>
    <row r="348" spans="1:2" x14ac:dyDescent="0.2">
      <c r="A348" s="1" t="s">
        <v>1020</v>
      </c>
      <c r="B348" s="1" t="s">
        <v>1021</v>
      </c>
    </row>
    <row r="349" spans="1:2" x14ac:dyDescent="0.2">
      <c r="B349" s="1" t="s">
        <v>1022</v>
      </c>
    </row>
    <row r="350" spans="1:2" x14ac:dyDescent="0.2">
      <c r="A350" s="1" t="s">
        <v>1023</v>
      </c>
      <c r="B350" s="1" t="s">
        <v>1024</v>
      </c>
    </row>
    <row r="351" spans="1:2" x14ac:dyDescent="0.2">
      <c r="B351" s="1" t="s">
        <v>1025</v>
      </c>
    </row>
    <row r="352" spans="1:2" x14ac:dyDescent="0.2">
      <c r="A352" s="1" t="s">
        <v>1026</v>
      </c>
      <c r="B352" s="1" t="s">
        <v>1027</v>
      </c>
    </row>
    <row r="353" spans="1:9" x14ac:dyDescent="0.2">
      <c r="B353" s="1" t="s">
        <v>1028</v>
      </c>
    </row>
    <row r="355" spans="1:9" x14ac:dyDescent="0.2">
      <c r="A355" s="1" t="s">
        <v>1029</v>
      </c>
    </row>
    <row r="356" spans="1:9" x14ac:dyDescent="0.2">
      <c r="A356" s="1" t="s">
        <v>2696</v>
      </c>
    </row>
    <row r="358" spans="1:9" x14ac:dyDescent="0.2">
      <c r="A358" s="1" t="s">
        <v>1030</v>
      </c>
    </row>
    <row r="360" spans="1:9" x14ac:dyDescent="0.2">
      <c r="A360" s="100" t="s">
        <v>1038</v>
      </c>
      <c r="B360" s="100"/>
      <c r="C360" s="100"/>
      <c r="D360" s="100"/>
      <c r="E360" s="100"/>
      <c r="F360" s="100"/>
      <c r="G360" s="100"/>
      <c r="H360" s="100"/>
    </row>
    <row r="361" spans="1:9" ht="17" thickBot="1" x14ac:dyDescent="0.25"/>
    <row r="362" spans="1:9" x14ac:dyDescent="0.2">
      <c r="A362" s="53" t="s">
        <v>1031</v>
      </c>
      <c r="B362" s="23"/>
      <c r="C362" s="23"/>
      <c r="D362" s="23"/>
      <c r="E362" s="23"/>
      <c r="F362" s="23"/>
      <c r="G362" s="23"/>
      <c r="H362" s="35"/>
    </row>
    <row r="363" spans="1:9" x14ac:dyDescent="0.2">
      <c r="A363" s="26" t="s">
        <v>1032</v>
      </c>
      <c r="H363" s="36"/>
      <c r="I363" s="1" t="s">
        <v>2697</v>
      </c>
    </row>
    <row r="364" spans="1:9" x14ac:dyDescent="0.2">
      <c r="A364" s="26" t="s">
        <v>1033</v>
      </c>
      <c r="H364" s="36"/>
      <c r="I364" s="1" t="s">
        <v>2698</v>
      </c>
    </row>
    <row r="365" spans="1:9" x14ac:dyDescent="0.2">
      <c r="A365" s="26" t="s">
        <v>1034</v>
      </c>
      <c r="H365" s="36"/>
      <c r="I365" s="1" t="s">
        <v>2699</v>
      </c>
    </row>
    <row r="366" spans="1:9" x14ac:dyDescent="0.2">
      <c r="A366" s="26" t="s">
        <v>1035</v>
      </c>
      <c r="H366" s="36"/>
      <c r="I366" s="1" t="s">
        <v>2700</v>
      </c>
    </row>
    <row r="367" spans="1:9" x14ac:dyDescent="0.2">
      <c r="A367" s="26" t="s">
        <v>1036</v>
      </c>
      <c r="H367" s="36"/>
      <c r="I367" s="1" t="s">
        <v>2701</v>
      </c>
    </row>
    <row r="368" spans="1:9" ht="17" thickBot="1" x14ac:dyDescent="0.25">
      <c r="A368" s="28" t="s">
        <v>1037</v>
      </c>
      <c r="B368" s="29"/>
      <c r="C368" s="29"/>
      <c r="D368" s="29"/>
      <c r="E368" s="29"/>
      <c r="F368" s="29"/>
      <c r="G368" s="29"/>
      <c r="H368" s="37"/>
      <c r="I368" s="1" t="s">
        <v>2702</v>
      </c>
    </row>
    <row r="369" spans="1:9" ht="17" thickBot="1" x14ac:dyDescent="0.25"/>
    <row r="370" spans="1:9" x14ac:dyDescent="0.2">
      <c r="A370" s="53" t="s">
        <v>1039</v>
      </c>
      <c r="B370" s="23"/>
      <c r="C370" s="23"/>
      <c r="D370" s="23"/>
      <c r="E370" s="23"/>
      <c r="F370" s="23"/>
      <c r="G370" s="23"/>
      <c r="H370" s="35"/>
    </row>
    <row r="371" spans="1:9" x14ac:dyDescent="0.2">
      <c r="A371" s="26" t="s">
        <v>2703</v>
      </c>
      <c r="H371" s="36"/>
      <c r="I371" s="1" t="s">
        <v>2705</v>
      </c>
    </row>
    <row r="372" spans="1:9" x14ac:dyDescent="0.2">
      <c r="A372" s="26" t="s">
        <v>1040</v>
      </c>
      <c r="H372" s="36"/>
      <c r="I372" s="1" t="s">
        <v>2706</v>
      </c>
    </row>
    <row r="373" spans="1:9" x14ac:dyDescent="0.2">
      <c r="A373" s="26" t="s">
        <v>1041</v>
      </c>
      <c r="H373" s="36"/>
      <c r="I373" s="1" t="s">
        <v>2707</v>
      </c>
    </row>
    <row r="374" spans="1:9" x14ac:dyDescent="0.2">
      <c r="A374" s="26" t="s">
        <v>1042</v>
      </c>
      <c r="H374" s="36"/>
      <c r="I374" s="1" t="s">
        <v>2708</v>
      </c>
    </row>
    <row r="375" spans="1:9" x14ac:dyDescent="0.2">
      <c r="A375" s="26" t="s">
        <v>2704</v>
      </c>
      <c r="H375" s="36"/>
      <c r="I375" s="1" t="s">
        <v>2709</v>
      </c>
    </row>
    <row r="376" spans="1:9" ht="17" thickBot="1" x14ac:dyDescent="0.25">
      <c r="A376" s="28" t="s">
        <v>1043</v>
      </c>
      <c r="B376" s="29"/>
      <c r="C376" s="29"/>
      <c r="D376" s="29"/>
      <c r="E376" s="29"/>
      <c r="F376" s="29"/>
      <c r="G376" s="29"/>
      <c r="H376" s="37"/>
    </row>
    <row r="378" spans="1:9" x14ac:dyDescent="0.2">
      <c r="A378" s="100" t="s">
        <v>1044</v>
      </c>
      <c r="B378" s="100"/>
      <c r="C378" s="100"/>
      <c r="D378" s="100"/>
      <c r="E378" s="100"/>
      <c r="F378" s="100"/>
      <c r="G378" s="100"/>
      <c r="H378" s="100"/>
    </row>
    <row r="379" spans="1:9" ht="17" thickBot="1" x14ac:dyDescent="0.25"/>
    <row r="380" spans="1:9" x14ac:dyDescent="0.2">
      <c r="A380" s="53" t="s">
        <v>1031</v>
      </c>
      <c r="B380" s="23"/>
      <c r="C380" s="23"/>
      <c r="D380" s="23"/>
      <c r="E380" s="23"/>
      <c r="F380" s="23"/>
      <c r="G380" s="23"/>
      <c r="H380" s="35"/>
    </row>
    <row r="381" spans="1:9" x14ac:dyDescent="0.2">
      <c r="A381" s="26" t="s">
        <v>1045</v>
      </c>
      <c r="H381" s="36"/>
      <c r="I381" s="1" t="s">
        <v>2710</v>
      </c>
    </row>
    <row r="382" spans="1:9" x14ac:dyDescent="0.2">
      <c r="A382" s="26" t="s">
        <v>1046</v>
      </c>
      <c r="H382" s="36"/>
      <c r="I382" s="1" t="s">
        <v>2711</v>
      </c>
    </row>
    <row r="383" spans="1:9" ht="17" thickBot="1" x14ac:dyDescent="0.25">
      <c r="A383" s="28" t="s">
        <v>1047</v>
      </c>
      <c r="B383" s="29"/>
      <c r="C383" s="29"/>
      <c r="D383" s="29"/>
      <c r="E383" s="29"/>
      <c r="F383" s="29"/>
      <c r="G383" s="29"/>
      <c r="H383" s="37"/>
    </row>
    <row r="384" spans="1:9" ht="17" thickBot="1" x14ac:dyDescent="0.25"/>
    <row r="385" spans="1:9" x14ac:dyDescent="0.2">
      <c r="A385" s="53" t="s">
        <v>1039</v>
      </c>
      <c r="B385" s="23"/>
      <c r="C385" s="23"/>
      <c r="D385" s="23"/>
      <c r="E385" s="23"/>
      <c r="F385" s="23"/>
      <c r="G385" s="23"/>
      <c r="H385" s="35"/>
    </row>
    <row r="386" spans="1:9" x14ac:dyDescent="0.2">
      <c r="A386" s="26" t="s">
        <v>1048</v>
      </c>
      <c r="H386" s="36"/>
      <c r="I386" s="1" t="s">
        <v>2712</v>
      </c>
    </row>
    <row r="387" spans="1:9" x14ac:dyDescent="0.2">
      <c r="A387" s="26" t="s">
        <v>1049</v>
      </c>
      <c r="H387" s="36"/>
    </row>
    <row r="388" spans="1:9" x14ac:dyDescent="0.2">
      <c r="A388" s="26" t="s">
        <v>1052</v>
      </c>
      <c r="H388" s="36"/>
    </row>
    <row r="389" spans="1:9" x14ac:dyDescent="0.2">
      <c r="A389" s="26" t="s">
        <v>1050</v>
      </c>
      <c r="H389" s="36"/>
    </row>
    <row r="390" spans="1:9" ht="17" thickBot="1" x14ac:dyDescent="0.25">
      <c r="A390" s="28" t="s">
        <v>1051</v>
      </c>
      <c r="B390" s="29"/>
      <c r="C390" s="29"/>
      <c r="D390" s="29"/>
      <c r="E390" s="29"/>
      <c r="F390" s="29"/>
      <c r="G390" s="29"/>
      <c r="H390" s="37"/>
    </row>
    <row r="392" spans="1:9" x14ac:dyDescent="0.2">
      <c r="A392" s="3" t="s">
        <v>2713</v>
      </c>
    </row>
    <row r="393" spans="1:9" x14ac:dyDescent="0.2">
      <c r="A393" s="1" t="s">
        <v>2714</v>
      </c>
    </row>
    <row r="394" spans="1:9" x14ac:dyDescent="0.2">
      <c r="C394" s="1" t="s">
        <v>2716</v>
      </c>
    </row>
    <row r="395" spans="1:9" x14ac:dyDescent="0.2">
      <c r="A395" s="1" t="s">
        <v>2715</v>
      </c>
    </row>
    <row r="396" spans="1:9" x14ac:dyDescent="0.2">
      <c r="C396" s="1" t="s">
        <v>2717</v>
      </c>
    </row>
    <row r="398" spans="1:9" x14ac:dyDescent="0.2">
      <c r="A398" s="100" t="s">
        <v>1053</v>
      </c>
      <c r="B398" s="100"/>
      <c r="C398" s="100"/>
      <c r="D398" s="100"/>
      <c r="E398" s="100"/>
      <c r="F398" s="100"/>
      <c r="G398" s="100"/>
      <c r="H398" s="100"/>
    </row>
    <row r="400" spans="1:9" x14ac:dyDescent="0.2">
      <c r="A400" s="1" t="s">
        <v>2718</v>
      </c>
    </row>
    <row r="402" spans="1:8" x14ac:dyDescent="0.2">
      <c r="A402" s="1" t="s">
        <v>1054</v>
      </c>
    </row>
    <row r="403" spans="1:8" x14ac:dyDescent="0.2">
      <c r="A403" s="1" t="s">
        <v>1055</v>
      </c>
    </row>
    <row r="405" spans="1:8" x14ac:dyDescent="0.2">
      <c r="A405" s="1" t="s">
        <v>1056</v>
      </c>
    </row>
    <row r="407" spans="1:8" x14ac:dyDescent="0.2">
      <c r="A407" s="1" t="s">
        <v>1057</v>
      </c>
    </row>
    <row r="408" spans="1:8" x14ac:dyDescent="0.2">
      <c r="A408" s="1" t="s">
        <v>1058</v>
      </c>
    </row>
    <row r="410" spans="1:8" x14ac:dyDescent="0.2">
      <c r="A410" s="1" t="s">
        <v>1059</v>
      </c>
    </row>
    <row r="411" spans="1:8" x14ac:dyDescent="0.2">
      <c r="A411" s="1" t="s">
        <v>1060</v>
      </c>
    </row>
    <row r="412" spans="1:8" x14ac:dyDescent="0.2">
      <c r="A412" s="1" t="s">
        <v>1061</v>
      </c>
    </row>
    <row r="413" spans="1:8" ht="17" thickBot="1" x14ac:dyDescent="0.25"/>
    <row r="414" spans="1:8" x14ac:dyDescent="0.2">
      <c r="A414" s="22" t="s">
        <v>1091</v>
      </c>
      <c r="B414" s="23"/>
      <c r="C414" s="23"/>
      <c r="D414" s="23"/>
      <c r="E414" s="23"/>
      <c r="F414" s="23"/>
      <c r="G414" s="23"/>
      <c r="H414" s="35"/>
    </row>
    <row r="415" spans="1:8" x14ac:dyDescent="0.2">
      <c r="A415" s="124" t="s">
        <v>1062</v>
      </c>
      <c r="H415" s="36"/>
    </row>
    <row r="416" spans="1:8" ht="17" thickBot="1" x14ac:dyDescent="0.25">
      <c r="A416" s="125" t="s">
        <v>1063</v>
      </c>
      <c r="B416" s="29"/>
      <c r="C416" s="29"/>
      <c r="D416" s="29"/>
      <c r="E416" s="29"/>
      <c r="F416" s="29"/>
      <c r="G416" s="29"/>
      <c r="H416" s="37"/>
    </row>
    <row r="417" spans="1:8" x14ac:dyDescent="0.2">
      <c r="A417" s="3"/>
    </row>
    <row r="418" spans="1:8" x14ac:dyDescent="0.2">
      <c r="A418" s="1" t="s">
        <v>1064</v>
      </c>
    </row>
    <row r="419" spans="1:8" x14ac:dyDescent="0.2">
      <c r="A419" s="1" t="s">
        <v>1065</v>
      </c>
    </row>
    <row r="420" spans="1:8" x14ac:dyDescent="0.2">
      <c r="A420" s="1" t="s">
        <v>1066</v>
      </c>
    </row>
    <row r="421" spans="1:8" x14ac:dyDescent="0.2">
      <c r="A421" s="1" t="s">
        <v>1067</v>
      </c>
    </row>
    <row r="423" spans="1:8" x14ac:dyDescent="0.2">
      <c r="A423" s="1" t="s">
        <v>1068</v>
      </c>
    </row>
    <row r="424" spans="1:8" x14ac:dyDescent="0.2">
      <c r="A424" s="1" t="s">
        <v>1069</v>
      </c>
    </row>
    <row r="425" spans="1:8" x14ac:dyDescent="0.2">
      <c r="A425" s="1" t="s">
        <v>1070</v>
      </c>
    </row>
    <row r="426" spans="1:8" x14ac:dyDescent="0.2">
      <c r="A426" s="1" t="s">
        <v>1071</v>
      </c>
    </row>
    <row r="428" spans="1:8" x14ac:dyDescent="0.2">
      <c r="A428" s="32" t="s">
        <v>1072</v>
      </c>
      <c r="B428" s="32"/>
      <c r="C428" s="32"/>
      <c r="D428" s="32"/>
      <c r="E428" s="32"/>
      <c r="F428" s="32"/>
      <c r="G428" s="32"/>
      <c r="H428" s="32"/>
    </row>
    <row r="429" spans="1:8" x14ac:dyDescent="0.2">
      <c r="A429" s="1" t="s">
        <v>1073</v>
      </c>
    </row>
    <row r="430" spans="1:8" x14ac:dyDescent="0.2">
      <c r="A430" s="1" t="s">
        <v>1074</v>
      </c>
    </row>
    <row r="431" spans="1:8" x14ac:dyDescent="0.2">
      <c r="A431" s="1" t="s">
        <v>1075</v>
      </c>
    </row>
    <row r="433" spans="1:8" x14ac:dyDescent="0.2">
      <c r="A433" s="32" t="s">
        <v>1076</v>
      </c>
      <c r="B433" s="32"/>
      <c r="C433" s="32"/>
      <c r="D433" s="32"/>
      <c r="E433" s="32"/>
      <c r="F433" s="32"/>
      <c r="G433" s="32"/>
      <c r="H433" s="32"/>
    </row>
    <row r="434" spans="1:8" x14ac:dyDescent="0.2">
      <c r="A434" s="1" t="s">
        <v>1077</v>
      </c>
    </row>
    <row r="435" spans="1:8" x14ac:dyDescent="0.2">
      <c r="A435" s="1" t="s">
        <v>1085</v>
      </c>
    </row>
    <row r="436" spans="1:8" x14ac:dyDescent="0.2">
      <c r="B436" s="1" t="s">
        <v>1078</v>
      </c>
      <c r="D436" s="8">
        <v>100000</v>
      </c>
    </row>
    <row r="437" spans="1:8" x14ac:dyDescent="0.2">
      <c r="B437" s="1" t="s">
        <v>1079</v>
      </c>
      <c r="C437" s="8"/>
      <c r="D437" s="8">
        <v>100000</v>
      </c>
    </row>
    <row r="438" spans="1:8" x14ac:dyDescent="0.2">
      <c r="C438" s="8"/>
      <c r="D438" s="8"/>
    </row>
    <row r="439" spans="1:8" x14ac:dyDescent="0.2">
      <c r="A439" s="1" t="s">
        <v>1080</v>
      </c>
      <c r="C439" s="8"/>
      <c r="D439" s="8"/>
    </row>
    <row r="440" spans="1:8" x14ac:dyDescent="0.2">
      <c r="A440" s="1" t="s">
        <v>1081</v>
      </c>
      <c r="C440" s="8"/>
      <c r="D440" s="8"/>
    </row>
    <row r="441" spans="1:8" x14ac:dyDescent="0.2">
      <c r="A441" s="1" t="s">
        <v>1082</v>
      </c>
      <c r="C441" s="8"/>
      <c r="D441" s="8"/>
    </row>
    <row r="442" spans="1:8" x14ac:dyDescent="0.2">
      <c r="C442" s="8"/>
      <c r="D442" s="8"/>
    </row>
    <row r="443" spans="1:8" x14ac:dyDescent="0.2">
      <c r="A443" s="1" t="s">
        <v>1083</v>
      </c>
      <c r="C443" s="8"/>
      <c r="D443" s="8"/>
    </row>
    <row r="444" spans="1:8" x14ac:dyDescent="0.2">
      <c r="A444" s="1" t="s">
        <v>1084</v>
      </c>
      <c r="C444" s="8"/>
      <c r="D444" s="8"/>
    </row>
    <row r="445" spans="1:8" x14ac:dyDescent="0.2">
      <c r="C445" s="8"/>
      <c r="D445" s="8"/>
    </row>
    <row r="446" spans="1:8" x14ac:dyDescent="0.2">
      <c r="A446" s="1" t="s">
        <v>1086</v>
      </c>
      <c r="C446" s="8" t="s">
        <v>988</v>
      </c>
      <c r="D446" s="8">
        <f>D436</f>
        <v>100000</v>
      </c>
    </row>
    <row r="447" spans="1:8" x14ac:dyDescent="0.2">
      <c r="C447" s="8" t="s">
        <v>1087</v>
      </c>
      <c r="D447" s="8">
        <f>D446</f>
        <v>100000</v>
      </c>
    </row>
    <row r="449" spans="1:8" x14ac:dyDescent="0.2">
      <c r="A449" s="32" t="s">
        <v>1088</v>
      </c>
      <c r="B449" s="32"/>
      <c r="C449" s="32"/>
      <c r="D449" s="32"/>
      <c r="E449" s="32"/>
      <c r="F449" s="32"/>
      <c r="G449" s="32"/>
      <c r="H449" s="32"/>
    </row>
    <row r="450" spans="1:8" x14ac:dyDescent="0.2">
      <c r="A450" s="1" t="s">
        <v>1089</v>
      </c>
    </row>
    <row r="451" spans="1:8" x14ac:dyDescent="0.2">
      <c r="A451" s="1" t="s">
        <v>1090</v>
      </c>
    </row>
    <row r="453" spans="1:8" x14ac:dyDescent="0.2">
      <c r="A453" s="32" t="s">
        <v>1092</v>
      </c>
      <c r="B453" s="32"/>
      <c r="C453" s="32"/>
      <c r="D453" s="32"/>
      <c r="E453" s="32"/>
      <c r="F453" s="32"/>
      <c r="G453" s="32"/>
      <c r="H453" s="32"/>
    </row>
    <row r="454" spans="1:8" x14ac:dyDescent="0.2">
      <c r="A454" s="1" t="s">
        <v>1093</v>
      </c>
    </row>
    <row r="455" spans="1:8" x14ac:dyDescent="0.2">
      <c r="A455" s="1" t="s">
        <v>1094</v>
      </c>
    </row>
    <row r="456" spans="1:8" x14ac:dyDescent="0.2">
      <c r="A456" s="1" t="s">
        <v>1095</v>
      </c>
    </row>
    <row r="458" spans="1:8" x14ac:dyDescent="0.2">
      <c r="A458" s="1" t="s">
        <v>1096</v>
      </c>
      <c r="B458" s="1" t="s">
        <v>1078</v>
      </c>
      <c r="E458" s="8">
        <v>200000</v>
      </c>
    </row>
    <row r="459" spans="1:8" x14ac:dyDescent="0.2">
      <c r="B459" s="1" t="s">
        <v>991</v>
      </c>
      <c r="E459" s="8">
        <f>E458</f>
        <v>200000</v>
      </c>
    </row>
    <row r="461" spans="1:8" x14ac:dyDescent="0.2">
      <c r="A461" s="1" t="s">
        <v>931</v>
      </c>
      <c r="B461" s="1" t="s">
        <v>1097</v>
      </c>
      <c r="E461" s="8">
        <v>100000</v>
      </c>
    </row>
    <row r="462" spans="1:8" x14ac:dyDescent="0.2">
      <c r="B462" s="1" t="s">
        <v>1087</v>
      </c>
      <c r="E462" s="8">
        <v>100000</v>
      </c>
    </row>
    <row r="463" spans="1:8" x14ac:dyDescent="0.2">
      <c r="E463" s="8"/>
    </row>
    <row r="464" spans="1:8" x14ac:dyDescent="0.2">
      <c r="B464" s="1" t="s">
        <v>994</v>
      </c>
      <c r="E464" s="8">
        <f>E461</f>
        <v>100000</v>
      </c>
    </row>
    <row r="465" spans="1:8" x14ac:dyDescent="0.2">
      <c r="B465" s="1" t="s">
        <v>1098</v>
      </c>
      <c r="E465" s="8">
        <f>E464</f>
        <v>100000</v>
      </c>
    </row>
    <row r="466" spans="1:8" x14ac:dyDescent="0.2">
      <c r="E466" s="8"/>
    </row>
    <row r="467" spans="1:8" x14ac:dyDescent="0.2">
      <c r="A467" s="32" t="s">
        <v>1099</v>
      </c>
      <c r="B467" s="32"/>
      <c r="C467" s="32"/>
      <c r="D467" s="32"/>
      <c r="E467" s="32"/>
      <c r="F467" s="32"/>
      <c r="G467" s="32"/>
      <c r="H467" s="32"/>
    </row>
    <row r="468" spans="1:8" x14ac:dyDescent="0.2">
      <c r="A468" s="1" t="s">
        <v>1100</v>
      </c>
      <c r="E468" s="8"/>
    </row>
    <row r="469" spans="1:8" x14ac:dyDescent="0.2">
      <c r="A469" s="1" t="s">
        <v>1110</v>
      </c>
    </row>
    <row r="470" spans="1:8" x14ac:dyDescent="0.2">
      <c r="A470" s="1" t="s">
        <v>1101</v>
      </c>
    </row>
    <row r="471" spans="1:8" x14ac:dyDescent="0.2">
      <c r="A471" s="1" t="s">
        <v>1106</v>
      </c>
    </row>
    <row r="473" spans="1:8" x14ac:dyDescent="0.2">
      <c r="A473" s="32" t="s">
        <v>1102</v>
      </c>
      <c r="B473" s="32"/>
      <c r="C473" s="32"/>
      <c r="D473" s="32"/>
      <c r="E473" s="32"/>
      <c r="F473" s="32"/>
      <c r="G473" s="32"/>
      <c r="H473" s="32"/>
    </row>
    <row r="474" spans="1:8" x14ac:dyDescent="0.2">
      <c r="A474" s="1" t="s">
        <v>1103</v>
      </c>
    </row>
    <row r="475" spans="1:8" x14ac:dyDescent="0.2">
      <c r="A475" s="1" t="s">
        <v>1104</v>
      </c>
    </row>
    <row r="476" spans="1:8" x14ac:dyDescent="0.2">
      <c r="A476" s="1" t="s">
        <v>1105</v>
      </c>
    </row>
    <row r="478" spans="1:8" x14ac:dyDescent="0.2">
      <c r="A478" s="1" t="s">
        <v>1107</v>
      </c>
    </row>
    <row r="480" spans="1:8" x14ac:dyDescent="0.2">
      <c r="B480" s="1" t="s">
        <v>988</v>
      </c>
      <c r="D480" s="8">
        <v>140000</v>
      </c>
      <c r="E480" s="1" t="s">
        <v>1108</v>
      </c>
    </row>
    <row r="481" spans="1:10" x14ac:dyDescent="0.2">
      <c r="B481" s="1" t="s">
        <v>1109</v>
      </c>
      <c r="D481" s="8">
        <f>D480</f>
        <v>140000</v>
      </c>
      <c r="E481" s="1" t="s">
        <v>2719</v>
      </c>
    </row>
    <row r="483" spans="1:10" x14ac:dyDescent="0.2">
      <c r="A483" s="32" t="s">
        <v>1111</v>
      </c>
      <c r="B483" s="32"/>
      <c r="C483" s="32"/>
      <c r="D483" s="32"/>
      <c r="E483" s="32"/>
      <c r="F483" s="32"/>
      <c r="G483" s="32"/>
      <c r="H483" s="32"/>
    </row>
    <row r="484" spans="1:10" x14ac:dyDescent="0.2">
      <c r="A484" s="1" t="s">
        <v>1112</v>
      </c>
    </row>
    <row r="485" spans="1:10" x14ac:dyDescent="0.2">
      <c r="A485" s="1" t="s">
        <v>1114</v>
      </c>
    </row>
    <row r="486" spans="1:10" x14ac:dyDescent="0.2">
      <c r="A486" s="1" t="s">
        <v>1115</v>
      </c>
    </row>
    <row r="487" spans="1:10" x14ac:dyDescent="0.2">
      <c r="A487" s="1" t="s">
        <v>2720</v>
      </c>
    </row>
    <row r="488" spans="1:10" x14ac:dyDescent="0.2">
      <c r="A488" s="1" t="s">
        <v>2721</v>
      </c>
    </row>
    <row r="490" spans="1:10" x14ac:dyDescent="0.2">
      <c r="A490" s="1" t="s">
        <v>1113</v>
      </c>
    </row>
    <row r="492" spans="1:10" x14ac:dyDescent="0.2">
      <c r="A492" s="32" t="s">
        <v>1116</v>
      </c>
      <c r="B492" s="32"/>
      <c r="C492" s="32"/>
      <c r="D492" s="32"/>
      <c r="E492" s="32"/>
      <c r="F492" s="32"/>
      <c r="G492" s="32"/>
      <c r="H492" s="32"/>
    </row>
    <row r="494" spans="1:10" x14ac:dyDescent="0.2">
      <c r="A494" s="1">
        <v>2022</v>
      </c>
      <c r="B494" s="1" t="s">
        <v>2723</v>
      </c>
      <c r="E494" s="1">
        <v>2023</v>
      </c>
      <c r="F494" s="1" t="s">
        <v>1118</v>
      </c>
      <c r="H494" s="79">
        <v>140000</v>
      </c>
    </row>
    <row r="495" spans="1:10" x14ac:dyDescent="0.2">
      <c r="B495" s="1" t="s">
        <v>2724</v>
      </c>
      <c r="F495" s="1" t="s">
        <v>1119</v>
      </c>
      <c r="H495" s="8">
        <f>H494*4</f>
        <v>560000</v>
      </c>
      <c r="J495" s="1" t="s">
        <v>2722</v>
      </c>
    </row>
    <row r="496" spans="1:10" x14ac:dyDescent="0.2">
      <c r="B496" s="1" t="s">
        <v>2725</v>
      </c>
      <c r="F496" s="1" t="s">
        <v>1120</v>
      </c>
      <c r="H496" s="79">
        <v>240000</v>
      </c>
    </row>
    <row r="497" spans="1:10" x14ac:dyDescent="0.2">
      <c r="B497" s="1" t="s">
        <v>2726</v>
      </c>
      <c r="F497" s="3" t="s">
        <v>1121</v>
      </c>
      <c r="G497" s="3"/>
      <c r="H497" s="126">
        <f>H494+H496</f>
        <v>380000</v>
      </c>
      <c r="J497" s="1" t="s">
        <v>1122</v>
      </c>
    </row>
    <row r="498" spans="1:10" x14ac:dyDescent="0.2">
      <c r="B498" s="1" t="s">
        <v>2727</v>
      </c>
    </row>
    <row r="499" spans="1:10" x14ac:dyDescent="0.2">
      <c r="B499" s="1" t="s">
        <v>1117</v>
      </c>
      <c r="F499" s="1" t="s">
        <v>988</v>
      </c>
      <c r="H499" s="8">
        <f>H497</f>
        <v>380000</v>
      </c>
    </row>
    <row r="500" spans="1:10" x14ac:dyDescent="0.2">
      <c r="F500" s="1" t="s">
        <v>989</v>
      </c>
      <c r="H500" s="8">
        <f>H499</f>
        <v>380000</v>
      </c>
    </row>
    <row r="502" spans="1:10" x14ac:dyDescent="0.2">
      <c r="A502" s="32" t="s">
        <v>1123</v>
      </c>
      <c r="B502" s="32"/>
      <c r="C502" s="32"/>
      <c r="D502" s="32"/>
      <c r="E502" s="32"/>
      <c r="F502" s="32"/>
      <c r="G502" s="32"/>
      <c r="H502" s="32"/>
    </row>
    <row r="503" spans="1:10" x14ac:dyDescent="0.2">
      <c r="A503" s="1" t="s">
        <v>1124</v>
      </c>
    </row>
    <row r="504" spans="1:10" x14ac:dyDescent="0.2">
      <c r="A504" s="1" t="s">
        <v>1125</v>
      </c>
    </row>
    <row r="505" spans="1:10" x14ac:dyDescent="0.2">
      <c r="A505" s="1" t="s">
        <v>1126</v>
      </c>
    </row>
    <row r="506" spans="1:10" x14ac:dyDescent="0.2">
      <c r="A506" s="1" t="s">
        <v>1127</v>
      </c>
    </row>
    <row r="508" spans="1:10" x14ac:dyDescent="0.2">
      <c r="A508" s="32" t="s">
        <v>1128</v>
      </c>
      <c r="B508" s="32"/>
      <c r="C508" s="32"/>
      <c r="D508" s="32"/>
      <c r="E508" s="32"/>
      <c r="F508" s="32"/>
      <c r="G508" s="32"/>
      <c r="H508" s="32"/>
    </row>
    <row r="509" spans="1:10" x14ac:dyDescent="0.2">
      <c r="A509" s="1" t="s">
        <v>1129</v>
      </c>
    </row>
    <row r="510" spans="1:10" x14ac:dyDescent="0.2">
      <c r="A510" s="1" t="s">
        <v>1130</v>
      </c>
    </row>
    <row r="511" spans="1:10" x14ac:dyDescent="0.2">
      <c r="A511" s="1" t="s">
        <v>1131</v>
      </c>
    </row>
    <row r="512" spans="1:10" x14ac:dyDescent="0.2">
      <c r="A512" s="1" t="s">
        <v>1132</v>
      </c>
    </row>
    <row r="514" spans="1:8" x14ac:dyDescent="0.2">
      <c r="A514" s="1" t="s">
        <v>1133</v>
      </c>
      <c r="C514" s="1" t="s">
        <v>988</v>
      </c>
      <c r="D514" s="8"/>
      <c r="E514" s="8">
        <v>800000</v>
      </c>
      <c r="F514" s="1" t="s">
        <v>2728</v>
      </c>
    </row>
    <row r="515" spans="1:8" x14ac:dyDescent="0.2">
      <c r="C515" s="1" t="s">
        <v>989</v>
      </c>
      <c r="E515" s="8">
        <v>800000</v>
      </c>
      <c r="F515" s="1" t="s">
        <v>2729</v>
      </c>
    </row>
    <row r="517" spans="1:8" x14ac:dyDescent="0.2">
      <c r="F517" s="1" t="s">
        <v>2730</v>
      </c>
    </row>
    <row r="518" spans="1:8" x14ac:dyDescent="0.2">
      <c r="F518" s="1" t="s">
        <v>2731</v>
      </c>
    </row>
    <row r="519" spans="1:8" x14ac:dyDescent="0.2">
      <c r="F519" s="1" t="s">
        <v>2732</v>
      </c>
    </row>
    <row r="520" spans="1:8" x14ac:dyDescent="0.2">
      <c r="F520" s="1" t="s">
        <v>2733</v>
      </c>
    </row>
    <row r="522" spans="1:8" x14ac:dyDescent="0.2">
      <c r="A522" s="1" t="s">
        <v>1134</v>
      </c>
      <c r="C522" s="1" t="s">
        <v>988</v>
      </c>
      <c r="E522" s="8">
        <v>200000</v>
      </c>
      <c r="F522" s="1" t="s">
        <v>2650</v>
      </c>
      <c r="G522" s="1" t="s">
        <v>2734</v>
      </c>
    </row>
    <row r="523" spans="1:8" x14ac:dyDescent="0.2">
      <c r="C523" s="1" t="s">
        <v>1078</v>
      </c>
      <c r="E523" s="8">
        <v>1000000</v>
      </c>
      <c r="F523" s="1" t="s">
        <v>2735</v>
      </c>
    </row>
    <row r="524" spans="1:8" x14ac:dyDescent="0.2">
      <c r="C524" s="1" t="s">
        <v>989</v>
      </c>
      <c r="E524" s="8">
        <f>E522+E523</f>
        <v>1200000</v>
      </c>
      <c r="F524" s="1" t="s">
        <v>2736</v>
      </c>
    </row>
    <row r="525" spans="1:8" ht="17" thickBot="1" x14ac:dyDescent="0.25"/>
    <row r="526" spans="1:8" x14ac:dyDescent="0.2">
      <c r="A526" s="22" t="s">
        <v>1322</v>
      </c>
      <c r="B526" s="23"/>
      <c r="C526" s="23"/>
      <c r="D526" s="23"/>
      <c r="E526" s="23"/>
      <c r="F526" s="23"/>
      <c r="G526" s="23"/>
      <c r="H526" s="35"/>
    </row>
    <row r="527" spans="1:8" x14ac:dyDescent="0.2">
      <c r="A527" s="26" t="s">
        <v>2737</v>
      </c>
      <c r="H527" s="36"/>
    </row>
    <row r="528" spans="1:8" x14ac:dyDescent="0.2">
      <c r="A528" s="26" t="s">
        <v>2738</v>
      </c>
      <c r="H528" s="36"/>
    </row>
    <row r="529" spans="1:8" x14ac:dyDescent="0.2">
      <c r="A529" s="26" t="s">
        <v>2739</v>
      </c>
      <c r="H529" s="36"/>
    </row>
    <row r="530" spans="1:8" x14ac:dyDescent="0.2">
      <c r="A530" s="26" t="s">
        <v>2740</v>
      </c>
      <c r="H530" s="36"/>
    </row>
    <row r="531" spans="1:8" x14ac:dyDescent="0.2">
      <c r="A531" s="26" t="s">
        <v>2741</v>
      </c>
      <c r="H531" s="36"/>
    </row>
    <row r="532" spans="1:8" ht="17" thickBot="1" x14ac:dyDescent="0.25">
      <c r="A532" s="28" t="s">
        <v>2742</v>
      </c>
      <c r="B532" s="29"/>
      <c r="C532" s="29"/>
      <c r="D532" s="29"/>
      <c r="E532" s="29"/>
      <c r="F532" s="29"/>
      <c r="G532" s="29"/>
      <c r="H532" s="37"/>
    </row>
    <row r="534" spans="1:8" x14ac:dyDescent="0.2">
      <c r="A534" s="1" t="s">
        <v>2755</v>
      </c>
    </row>
    <row r="536" spans="1:8" x14ac:dyDescent="0.2">
      <c r="A536" s="1" t="s">
        <v>2749</v>
      </c>
      <c r="B536" s="1" t="s">
        <v>2743</v>
      </c>
      <c r="C536" s="1" t="s">
        <v>2745</v>
      </c>
      <c r="D536" s="1" t="s">
        <v>2747</v>
      </c>
    </row>
    <row r="537" spans="1:8" ht="17" x14ac:dyDescent="0.2">
      <c r="A537" s="76" t="s">
        <v>2750</v>
      </c>
      <c r="B537" s="1" t="s">
        <v>2744</v>
      </c>
      <c r="C537" s="1" t="s">
        <v>2746</v>
      </c>
      <c r="D537" s="1" t="s">
        <v>2748</v>
      </c>
    </row>
    <row r="538" spans="1:8" x14ac:dyDescent="0.2">
      <c r="A538" s="1" t="s">
        <v>2750</v>
      </c>
      <c r="B538" s="1" t="s">
        <v>2752</v>
      </c>
      <c r="C538" s="1" t="s">
        <v>2746</v>
      </c>
      <c r="D538" s="1" t="s">
        <v>2753</v>
      </c>
    </row>
    <row r="539" spans="1:8" x14ac:dyDescent="0.2">
      <c r="A539" s="1" t="s">
        <v>2750</v>
      </c>
      <c r="B539" s="1" t="s">
        <v>2752</v>
      </c>
      <c r="C539" s="1" t="s">
        <v>2754</v>
      </c>
      <c r="D539" s="1" t="s">
        <v>2753</v>
      </c>
    </row>
    <row r="540" spans="1:8" x14ac:dyDescent="0.2">
      <c r="A540" s="1" t="s">
        <v>2751</v>
      </c>
      <c r="B540" s="1" t="s">
        <v>2744</v>
      </c>
      <c r="C540" s="1" t="s">
        <v>2756</v>
      </c>
      <c r="D540" s="1" t="s">
        <v>2757</v>
      </c>
    </row>
    <row r="541" spans="1:8" x14ac:dyDescent="0.2">
      <c r="A541" s="1" t="s">
        <v>2751</v>
      </c>
      <c r="B541" s="1" t="s">
        <v>2744</v>
      </c>
      <c r="C541" s="1" t="s">
        <v>2754</v>
      </c>
      <c r="D541" s="1" t="s">
        <v>2758</v>
      </c>
    </row>
    <row r="542" spans="1:8" x14ac:dyDescent="0.2">
      <c r="A542" s="1" t="s">
        <v>2751</v>
      </c>
      <c r="B542" s="1" t="s">
        <v>2759</v>
      </c>
      <c r="C542" s="1" t="s">
        <v>2746</v>
      </c>
      <c r="D542" s="1" t="s">
        <v>2760</v>
      </c>
    </row>
    <row r="543" spans="1:8" x14ac:dyDescent="0.2">
      <c r="A543" s="1" t="s">
        <v>2751</v>
      </c>
      <c r="B543" s="1" t="s">
        <v>2759</v>
      </c>
      <c r="C543" s="1" t="s">
        <v>2754</v>
      </c>
      <c r="D543" s="1" t="s">
        <v>2760</v>
      </c>
    </row>
    <row r="547" spans="1:8" x14ac:dyDescent="0.2">
      <c r="A547" s="32" t="s">
        <v>1135</v>
      </c>
      <c r="B547" s="32"/>
      <c r="C547" s="32"/>
      <c r="D547" s="32"/>
      <c r="E547" s="32"/>
      <c r="F547" s="32"/>
      <c r="G547" s="32"/>
      <c r="H547" s="32"/>
    </row>
    <row r="548" spans="1:8" x14ac:dyDescent="0.2">
      <c r="A548" s="1" t="s">
        <v>1136</v>
      </c>
    </row>
    <row r="549" spans="1:8" x14ac:dyDescent="0.2">
      <c r="A549" s="1" t="s">
        <v>1137</v>
      </c>
    </row>
    <row r="550" spans="1:8" x14ac:dyDescent="0.2">
      <c r="A550" s="1" t="s">
        <v>1138</v>
      </c>
    </row>
    <row r="551" spans="1:8" x14ac:dyDescent="0.2">
      <c r="A551" s="1" t="s">
        <v>1139</v>
      </c>
    </row>
    <row r="552" spans="1:8" x14ac:dyDescent="0.2">
      <c r="A552" s="1" t="s">
        <v>1140</v>
      </c>
    </row>
    <row r="554" spans="1:8" x14ac:dyDescent="0.2">
      <c r="A554" s="32" t="s">
        <v>1141</v>
      </c>
      <c r="B554" s="32"/>
      <c r="C554" s="32"/>
      <c r="D554" s="32"/>
      <c r="E554" s="32"/>
      <c r="F554" s="32"/>
      <c r="G554" s="32"/>
      <c r="H554" s="32"/>
    </row>
    <row r="555" spans="1:8" x14ac:dyDescent="0.2">
      <c r="A555" s="1" t="s">
        <v>1142</v>
      </c>
    </row>
    <row r="556" spans="1:8" x14ac:dyDescent="0.2">
      <c r="A556" s="1" t="s">
        <v>1143</v>
      </c>
    </row>
    <row r="557" spans="1:8" x14ac:dyDescent="0.2">
      <c r="A557" s="1" t="s">
        <v>1144</v>
      </c>
    </row>
    <row r="558" spans="1:8" x14ac:dyDescent="0.2">
      <c r="A558" s="1" t="s">
        <v>1145</v>
      </c>
    </row>
    <row r="560" spans="1:8" x14ac:dyDescent="0.2">
      <c r="A560" s="1" t="s">
        <v>1146</v>
      </c>
      <c r="B560" s="1" t="s">
        <v>988</v>
      </c>
      <c r="D560" s="8">
        <v>3000000</v>
      </c>
      <c r="F560" s="1" t="s">
        <v>1147</v>
      </c>
      <c r="G560" s="1" t="s">
        <v>988</v>
      </c>
      <c r="H560" s="8">
        <f>H561</f>
        <v>1000000</v>
      </c>
    </row>
    <row r="561" spans="1:8" x14ac:dyDescent="0.2">
      <c r="B561" s="1" t="s">
        <v>1078</v>
      </c>
      <c r="D561" s="8">
        <v>1000000</v>
      </c>
      <c r="G561" s="1" t="s">
        <v>1087</v>
      </c>
      <c r="H561" s="8">
        <f>D561</f>
        <v>1000000</v>
      </c>
    </row>
    <row r="562" spans="1:8" x14ac:dyDescent="0.2">
      <c r="B562" s="1" t="s">
        <v>1079</v>
      </c>
      <c r="D562" s="8">
        <v>4000000</v>
      </c>
    </row>
    <row r="563" spans="1:8" x14ac:dyDescent="0.2">
      <c r="D563" s="8"/>
    </row>
    <row r="564" spans="1:8" x14ac:dyDescent="0.2">
      <c r="A564" s="32" t="s">
        <v>1148</v>
      </c>
      <c r="B564" s="32"/>
      <c r="C564" s="32"/>
      <c r="D564" s="32"/>
      <c r="E564" s="32"/>
      <c r="F564" s="32"/>
      <c r="G564" s="32"/>
      <c r="H564" s="32"/>
    </row>
    <row r="565" spans="1:8" x14ac:dyDescent="0.2">
      <c r="A565" s="1" t="s">
        <v>1149</v>
      </c>
    </row>
    <row r="566" spans="1:8" x14ac:dyDescent="0.2">
      <c r="A566" s="1" t="s">
        <v>1150</v>
      </c>
    </row>
    <row r="567" spans="1:8" x14ac:dyDescent="0.2">
      <c r="A567" s="1" t="s">
        <v>1151</v>
      </c>
    </row>
    <row r="568" spans="1:8" x14ac:dyDescent="0.2">
      <c r="A568" s="1" t="s">
        <v>1152</v>
      </c>
    </row>
    <row r="570" spans="1:8" x14ac:dyDescent="0.2">
      <c r="A570" s="32" t="s">
        <v>1153</v>
      </c>
      <c r="B570" s="32"/>
      <c r="C570" s="32"/>
      <c r="D570" s="32"/>
      <c r="E570" s="32"/>
      <c r="F570" s="32"/>
      <c r="G570" s="32"/>
      <c r="H570" s="32"/>
    </row>
    <row r="571" spans="1:8" x14ac:dyDescent="0.2">
      <c r="D571" s="8"/>
    </row>
    <row r="572" spans="1:8" x14ac:dyDescent="0.2">
      <c r="A572" s="1" t="s">
        <v>1096</v>
      </c>
      <c r="B572" s="1" t="s">
        <v>1154</v>
      </c>
      <c r="D572" s="8"/>
      <c r="E572" s="1" t="s">
        <v>931</v>
      </c>
      <c r="F572" s="1" t="s">
        <v>1157</v>
      </c>
      <c r="H572" s="8">
        <v>400000</v>
      </c>
    </row>
    <row r="573" spans="1:8" x14ac:dyDescent="0.2">
      <c r="B573" s="1" t="s">
        <v>1155</v>
      </c>
      <c r="D573" s="8"/>
      <c r="F573" s="1" t="s">
        <v>1079</v>
      </c>
      <c r="H573" s="8">
        <f>H572</f>
        <v>400000</v>
      </c>
    </row>
    <row r="574" spans="1:8" x14ac:dyDescent="0.2">
      <c r="B574" s="1" t="s">
        <v>1156</v>
      </c>
      <c r="D574" s="8"/>
    </row>
    <row r="575" spans="1:8" x14ac:dyDescent="0.2">
      <c r="D575" s="8"/>
    </row>
    <row r="576" spans="1:8" x14ac:dyDescent="0.2">
      <c r="D576" s="8"/>
    </row>
    <row r="577" spans="4:4" x14ac:dyDescent="0.2">
      <c r="D577" s="8"/>
    </row>
    <row r="578" spans="4:4" x14ac:dyDescent="0.2">
      <c r="D578" s="8"/>
    </row>
    <row r="579" spans="4:4" x14ac:dyDescent="0.2">
      <c r="D579" s="8"/>
    </row>
    <row r="580" spans="4:4" x14ac:dyDescent="0.2">
      <c r="D580" s="8"/>
    </row>
    <row r="581" spans="4:4" x14ac:dyDescent="0.2">
      <c r="D581" s="8"/>
    </row>
    <row r="582" spans="4:4" x14ac:dyDescent="0.2">
      <c r="D582" s="8"/>
    </row>
  </sheetData>
  <pageMargins left="0.7" right="0.7" top="0.75" bottom="0.75" header="0.3" footer="0.3"/>
  <pageSetup paperSize="9"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5351D6-620B-CD4C-85F2-1681D91FF761}">
  <dimension ref="A1:L511"/>
  <sheetViews>
    <sheetView rightToLeft="1" topLeftCell="A229" zoomScale="257" workbookViewId="0">
      <selection activeCell="H253" sqref="H253"/>
    </sheetView>
  </sheetViews>
  <sheetFormatPr baseColWidth="10" defaultRowHeight="16" x14ac:dyDescent="0.2"/>
  <cols>
    <col min="1" max="2" width="10.83203125" style="1"/>
    <col min="3" max="3" width="11.5" style="1" customWidth="1"/>
    <col min="4" max="5" width="11.6640625" style="1" bestFit="1" customWidth="1"/>
    <col min="6" max="6" width="11" style="1" customWidth="1"/>
    <col min="7" max="16384" width="10.83203125" style="1"/>
  </cols>
  <sheetData>
    <row r="1" spans="1:8" x14ac:dyDescent="0.2">
      <c r="A1" s="6" t="s">
        <v>2761</v>
      </c>
      <c r="B1" s="6"/>
      <c r="C1" s="6"/>
      <c r="D1" s="6"/>
      <c r="E1" s="6"/>
      <c r="F1" s="6"/>
      <c r="G1" s="34">
        <v>45644</v>
      </c>
      <c r="H1" s="6" t="s">
        <v>11</v>
      </c>
    </row>
    <row r="3" spans="1:8" x14ac:dyDescent="0.2">
      <c r="A3" s="1" t="s">
        <v>1178</v>
      </c>
    </row>
    <row r="5" spans="1:8" x14ac:dyDescent="0.2">
      <c r="A5" s="1" t="s">
        <v>2762</v>
      </c>
    </row>
    <row r="6" spans="1:8" x14ac:dyDescent="0.2">
      <c r="A6" s="1" t="s">
        <v>2763</v>
      </c>
    </row>
    <row r="7" spans="1:8" x14ac:dyDescent="0.2">
      <c r="A7" s="1" t="s">
        <v>2764</v>
      </c>
    </row>
    <row r="8" spans="1:8" x14ac:dyDescent="0.2">
      <c r="A8" s="1" t="s">
        <v>2765</v>
      </c>
    </row>
    <row r="9" spans="1:8" x14ac:dyDescent="0.2">
      <c r="A9" s="1" t="s">
        <v>2766</v>
      </c>
    </row>
    <row r="10" spans="1:8" x14ac:dyDescent="0.2">
      <c r="A10" s="1" t="s">
        <v>2767</v>
      </c>
    </row>
    <row r="11" spans="1:8" x14ac:dyDescent="0.2">
      <c r="A11" s="1" t="s">
        <v>2768</v>
      </c>
    </row>
    <row r="13" spans="1:8" x14ac:dyDescent="0.2">
      <c r="A13" s="1" t="s">
        <v>2769</v>
      </c>
    </row>
    <row r="18" spans="1:8" x14ac:dyDescent="0.2">
      <c r="A18" s="127" t="s">
        <v>1179</v>
      </c>
      <c r="B18" s="127"/>
      <c r="C18" s="127"/>
      <c r="D18" s="127"/>
      <c r="E18" s="127"/>
      <c r="F18" s="127"/>
      <c r="G18" s="127"/>
      <c r="H18" s="127"/>
    </row>
    <row r="19" spans="1:8" x14ac:dyDescent="0.2">
      <c r="A19" s="1" t="s">
        <v>1180</v>
      </c>
    </row>
    <row r="20" spans="1:8" x14ac:dyDescent="0.2">
      <c r="A20" s="1" t="s">
        <v>2770</v>
      </c>
      <c r="B20" s="344" t="s">
        <v>2771</v>
      </c>
      <c r="C20" s="344"/>
      <c r="D20" s="344"/>
      <c r="E20" s="344"/>
      <c r="F20" s="344"/>
      <c r="G20" s="344"/>
      <c r="H20" s="344"/>
    </row>
    <row r="21" spans="1:8" x14ac:dyDescent="0.2">
      <c r="B21" s="344" t="s">
        <v>2772</v>
      </c>
      <c r="C21" s="344"/>
      <c r="D21" s="344"/>
      <c r="E21" s="344"/>
      <c r="F21" s="344"/>
      <c r="G21" s="344"/>
      <c r="H21" s="344"/>
    </row>
    <row r="22" spans="1:8" x14ac:dyDescent="0.2">
      <c r="B22" s="344" t="s">
        <v>2773</v>
      </c>
      <c r="C22" s="344"/>
      <c r="D22" s="344"/>
      <c r="E22" s="344"/>
      <c r="F22" s="344"/>
      <c r="G22" s="344"/>
      <c r="H22" s="344"/>
    </row>
    <row r="23" spans="1:8" x14ac:dyDescent="0.2">
      <c r="B23" s="344" t="s">
        <v>2774</v>
      </c>
      <c r="C23" s="344"/>
      <c r="D23" s="344"/>
      <c r="E23" s="344"/>
      <c r="F23" s="344"/>
      <c r="G23" s="344"/>
      <c r="H23" s="344"/>
    </row>
    <row r="25" spans="1:8" x14ac:dyDescent="0.2">
      <c r="A25" s="1" t="s">
        <v>1181</v>
      </c>
    </row>
    <row r="26" spans="1:8" x14ac:dyDescent="0.2">
      <c r="B26" s="344" t="s">
        <v>2775</v>
      </c>
      <c r="C26" s="344"/>
      <c r="D26" s="344"/>
      <c r="E26" s="344"/>
      <c r="F26" s="344"/>
      <c r="G26" s="344"/>
      <c r="H26" s="344"/>
    </row>
    <row r="27" spans="1:8" x14ac:dyDescent="0.2">
      <c r="B27" s="344" t="s">
        <v>2776</v>
      </c>
      <c r="C27" s="344"/>
      <c r="D27" s="344"/>
      <c r="E27" s="344"/>
      <c r="F27" s="344"/>
      <c r="G27" s="344"/>
      <c r="H27" s="344"/>
    </row>
    <row r="28" spans="1:8" x14ac:dyDescent="0.2">
      <c r="B28" s="344" t="s">
        <v>2777</v>
      </c>
      <c r="C28" s="344"/>
      <c r="D28" s="344"/>
      <c r="E28" s="344"/>
      <c r="F28" s="344"/>
      <c r="G28" s="344"/>
      <c r="H28" s="344"/>
    </row>
    <row r="30" spans="1:8" x14ac:dyDescent="0.2">
      <c r="A30" s="1" t="s">
        <v>2778</v>
      </c>
    </row>
    <row r="31" spans="1:8" x14ac:dyDescent="0.2">
      <c r="A31" s="1" t="s">
        <v>1183</v>
      </c>
      <c r="B31" s="1" t="s">
        <v>1182</v>
      </c>
    </row>
    <row r="32" spans="1:8" x14ac:dyDescent="0.2">
      <c r="B32" s="1" t="s">
        <v>1159</v>
      </c>
    </row>
    <row r="33" spans="2:9" x14ac:dyDescent="0.2">
      <c r="B33" s="1" t="s">
        <v>1160</v>
      </c>
    </row>
    <row r="34" spans="2:9" x14ac:dyDescent="0.2">
      <c r="B34" s="1" t="s">
        <v>2788</v>
      </c>
    </row>
    <row r="35" spans="2:9" x14ac:dyDescent="0.2">
      <c r="B35" s="1" t="s">
        <v>1161</v>
      </c>
    </row>
    <row r="36" spans="2:9" ht="17" thickBot="1" x14ac:dyDescent="0.25"/>
    <row r="37" spans="2:9" x14ac:dyDescent="0.2">
      <c r="B37" s="345" t="s">
        <v>2779</v>
      </c>
      <c r="C37" s="346"/>
      <c r="D37" s="346"/>
      <c r="E37" s="346"/>
      <c r="F37" s="346"/>
      <c r="G37" s="346"/>
      <c r="H37" s="347"/>
      <c r="I37" s="338"/>
    </row>
    <row r="38" spans="2:9" x14ac:dyDescent="0.2">
      <c r="B38" s="348" t="s">
        <v>2780</v>
      </c>
      <c r="C38" s="338"/>
      <c r="D38" s="338"/>
      <c r="E38" s="338"/>
      <c r="F38" s="338"/>
      <c r="G38" s="338"/>
      <c r="H38" s="349"/>
      <c r="I38" s="338"/>
    </row>
    <row r="39" spans="2:9" x14ac:dyDescent="0.2">
      <c r="B39" s="348" t="s">
        <v>2781</v>
      </c>
      <c r="C39" s="338"/>
      <c r="D39" s="338"/>
      <c r="E39" s="338"/>
      <c r="F39" s="338"/>
      <c r="G39" s="338"/>
      <c r="H39" s="349"/>
      <c r="I39" s="338"/>
    </row>
    <row r="40" spans="2:9" x14ac:dyDescent="0.2">
      <c r="B40" s="348"/>
      <c r="C40" s="338"/>
      <c r="D40" s="338"/>
      <c r="E40" s="338"/>
      <c r="F40" s="338"/>
      <c r="G40" s="338"/>
      <c r="H40" s="349"/>
      <c r="I40" s="338"/>
    </row>
    <row r="41" spans="2:9" x14ac:dyDescent="0.2">
      <c r="B41" s="348" t="s">
        <v>2782</v>
      </c>
      <c r="C41" s="338"/>
      <c r="D41" s="338"/>
      <c r="E41" s="338"/>
      <c r="F41" s="338"/>
      <c r="G41" s="338"/>
      <c r="H41" s="349"/>
      <c r="I41" s="338"/>
    </row>
    <row r="42" spans="2:9" x14ac:dyDescent="0.2">
      <c r="B42" s="348"/>
      <c r="C42" s="338" t="s">
        <v>2784</v>
      </c>
      <c r="D42" s="338"/>
      <c r="E42" s="350">
        <v>40000</v>
      </c>
      <c r="F42" s="338"/>
      <c r="G42" s="338"/>
      <c r="H42" s="349"/>
      <c r="I42" s="338"/>
    </row>
    <row r="43" spans="2:9" x14ac:dyDescent="0.2">
      <c r="B43" s="348"/>
      <c r="C43" s="338" t="s">
        <v>2783</v>
      </c>
      <c r="D43" s="338"/>
      <c r="E43" s="350">
        <f>E42</f>
        <v>40000</v>
      </c>
      <c r="F43" s="351" t="s">
        <v>2650</v>
      </c>
      <c r="G43" s="338" t="s">
        <v>2785</v>
      </c>
      <c r="H43" s="349"/>
      <c r="I43" s="338"/>
    </row>
    <row r="44" spans="2:9" x14ac:dyDescent="0.2">
      <c r="B44" s="348"/>
      <c r="C44" s="338"/>
      <c r="D44" s="338"/>
      <c r="E44" s="338"/>
      <c r="F44" s="338"/>
      <c r="G44" s="338" t="s">
        <v>2786</v>
      </c>
      <c r="H44" s="349"/>
      <c r="I44" s="338"/>
    </row>
    <row r="45" spans="2:9" x14ac:dyDescent="0.2">
      <c r="B45" s="348"/>
      <c r="C45" s="338"/>
      <c r="D45" s="338"/>
      <c r="E45" s="338"/>
      <c r="F45" s="338"/>
      <c r="G45" s="338"/>
      <c r="H45" s="349"/>
      <c r="I45" s="338"/>
    </row>
    <row r="46" spans="2:9" x14ac:dyDescent="0.2">
      <c r="B46" s="348"/>
      <c r="C46" s="338" t="s">
        <v>2787</v>
      </c>
      <c r="D46" s="338"/>
      <c r="E46" s="338"/>
      <c r="F46" s="338"/>
      <c r="G46" s="338"/>
      <c r="H46" s="349"/>
      <c r="I46" s="338"/>
    </row>
    <row r="47" spans="2:9" x14ac:dyDescent="0.2">
      <c r="B47" s="348"/>
      <c r="C47" s="338" t="s">
        <v>1222</v>
      </c>
      <c r="D47" s="338"/>
      <c r="E47" s="338"/>
      <c r="F47" s="350">
        <f>E43</f>
        <v>40000</v>
      </c>
      <c r="G47" s="338" t="s">
        <v>2789</v>
      </c>
      <c r="H47" s="349"/>
      <c r="I47" s="338"/>
    </row>
    <row r="48" spans="2:9" ht="17" thickBot="1" x14ac:dyDescent="0.25">
      <c r="B48" s="352"/>
      <c r="C48" s="353" t="s">
        <v>1223</v>
      </c>
      <c r="D48" s="353"/>
      <c r="E48" s="353"/>
      <c r="F48" s="354">
        <f>F47</f>
        <v>40000</v>
      </c>
      <c r="G48" s="353" t="s">
        <v>2790</v>
      </c>
      <c r="H48" s="355"/>
      <c r="I48" s="338"/>
    </row>
    <row r="50" spans="1:8" x14ac:dyDescent="0.2">
      <c r="A50" s="1" t="s">
        <v>1184</v>
      </c>
      <c r="B50" s="1" t="s">
        <v>1185</v>
      </c>
    </row>
    <row r="51" spans="1:8" x14ac:dyDescent="0.2">
      <c r="B51" s="1" t="s">
        <v>1162</v>
      </c>
    </row>
    <row r="52" spans="1:8" x14ac:dyDescent="0.2">
      <c r="B52" s="1" t="s">
        <v>1163</v>
      </c>
    </row>
    <row r="53" spans="1:8" x14ac:dyDescent="0.2">
      <c r="B53" s="1" t="s">
        <v>1164</v>
      </c>
    </row>
    <row r="54" spans="1:8" x14ac:dyDescent="0.2">
      <c r="B54" s="1" t="s">
        <v>1165</v>
      </c>
    </row>
    <row r="56" spans="1:8" x14ac:dyDescent="0.2">
      <c r="B56" s="1" t="s">
        <v>1166</v>
      </c>
    </row>
    <row r="57" spans="1:8" x14ac:dyDescent="0.2">
      <c r="B57" s="1" t="s">
        <v>1167</v>
      </c>
    </row>
    <row r="58" spans="1:8" x14ac:dyDescent="0.2">
      <c r="B58" s="1" t="s">
        <v>1168</v>
      </c>
    </row>
    <row r="59" spans="1:8" ht="17" thickBot="1" x14ac:dyDescent="0.25"/>
    <row r="60" spans="1:8" x14ac:dyDescent="0.2">
      <c r="B60" s="345" t="s">
        <v>2791</v>
      </c>
      <c r="C60" s="23"/>
      <c r="D60" s="23"/>
      <c r="E60" s="23"/>
      <c r="F60" s="23"/>
      <c r="G60" s="23"/>
      <c r="H60" s="35"/>
    </row>
    <row r="61" spans="1:8" x14ac:dyDescent="0.2">
      <c r="B61" s="348" t="s">
        <v>2792</v>
      </c>
      <c r="H61" s="36"/>
    </row>
    <row r="62" spans="1:8" ht="17" thickBot="1" x14ac:dyDescent="0.25">
      <c r="B62" s="352" t="s">
        <v>2793</v>
      </c>
      <c r="C62" s="29"/>
      <c r="D62" s="29"/>
      <c r="E62" s="29"/>
      <c r="F62" s="29"/>
      <c r="G62" s="29"/>
      <c r="H62" s="37"/>
    </row>
    <row r="64" spans="1:8" x14ac:dyDescent="0.2">
      <c r="A64" s="1" t="s">
        <v>1186</v>
      </c>
      <c r="B64" s="1" t="s">
        <v>1169</v>
      </c>
    </row>
    <row r="65" spans="1:8" x14ac:dyDescent="0.2">
      <c r="B65" s="1" t="s">
        <v>1187</v>
      </c>
    </row>
    <row r="66" spans="1:8" x14ac:dyDescent="0.2">
      <c r="B66" s="1" t="s">
        <v>1170</v>
      </c>
    </row>
    <row r="67" spans="1:8" x14ac:dyDescent="0.2">
      <c r="B67" s="1" t="s">
        <v>1173</v>
      </c>
    </row>
    <row r="68" spans="1:8" ht="17" thickBot="1" x14ac:dyDescent="0.25"/>
    <row r="69" spans="1:8" x14ac:dyDescent="0.2">
      <c r="B69" s="345" t="s">
        <v>2794</v>
      </c>
      <c r="C69" s="23"/>
      <c r="D69" s="23"/>
      <c r="E69" s="23"/>
      <c r="F69" s="23"/>
      <c r="G69" s="23"/>
      <c r="H69" s="35"/>
    </row>
    <row r="70" spans="1:8" ht="17" thickBot="1" x14ac:dyDescent="0.25">
      <c r="B70" s="352" t="s">
        <v>2795</v>
      </c>
      <c r="C70" s="29"/>
      <c r="D70" s="29"/>
      <c r="E70" s="29"/>
      <c r="F70" s="29"/>
      <c r="G70" s="29"/>
      <c r="H70" s="37"/>
    </row>
    <row r="72" spans="1:8" x14ac:dyDescent="0.2">
      <c r="B72" s="1" t="s">
        <v>1171</v>
      </c>
    </row>
    <row r="73" spans="1:8" x14ac:dyDescent="0.2">
      <c r="B73" s="1" t="s">
        <v>1172</v>
      </c>
    </row>
    <row r="75" spans="1:8" x14ac:dyDescent="0.2">
      <c r="A75" s="1" t="s">
        <v>1174</v>
      </c>
      <c r="B75" s="1" t="s">
        <v>1175</v>
      </c>
    </row>
    <row r="77" spans="1:8" x14ac:dyDescent="0.2">
      <c r="A77" s="1" t="s">
        <v>1176</v>
      </c>
      <c r="B77" s="1" t="s">
        <v>1177</v>
      </c>
    </row>
    <row r="78" spans="1:8" ht="17" thickBot="1" x14ac:dyDescent="0.25"/>
    <row r="79" spans="1:8" x14ac:dyDescent="0.2">
      <c r="B79" s="345" t="s">
        <v>2796</v>
      </c>
      <c r="C79" s="23"/>
      <c r="D79" s="23"/>
      <c r="E79" s="23"/>
      <c r="F79" s="23"/>
      <c r="G79" s="23"/>
      <c r="H79" s="35"/>
    </row>
    <row r="80" spans="1:8" x14ac:dyDescent="0.2">
      <c r="B80" s="348" t="s">
        <v>2797</v>
      </c>
      <c r="H80" s="36"/>
    </row>
    <row r="81" spans="1:8" ht="17" thickBot="1" x14ac:dyDescent="0.25">
      <c r="B81" s="352" t="s">
        <v>2798</v>
      </c>
      <c r="C81" s="29"/>
      <c r="D81" s="29"/>
      <c r="E81" s="29"/>
      <c r="F81" s="29"/>
      <c r="G81" s="29"/>
      <c r="H81" s="37"/>
    </row>
    <row r="94" spans="1:8" x14ac:dyDescent="0.2">
      <c r="A94" s="1" t="s">
        <v>190</v>
      </c>
    </row>
    <row r="96" spans="1:8" x14ac:dyDescent="0.2">
      <c r="A96" s="20" t="s">
        <v>1188</v>
      </c>
      <c r="B96" s="1" t="s">
        <v>1189</v>
      </c>
      <c r="C96" s="8">
        <v>1000000</v>
      </c>
    </row>
    <row r="97" spans="1:6" x14ac:dyDescent="0.2">
      <c r="B97" s="1" t="s">
        <v>2799</v>
      </c>
      <c r="D97" s="1" t="s">
        <v>1190</v>
      </c>
    </row>
    <row r="98" spans="1:6" x14ac:dyDescent="0.2">
      <c r="B98" s="1" t="s">
        <v>2800</v>
      </c>
    </row>
    <row r="99" spans="1:6" x14ac:dyDescent="0.2">
      <c r="B99" s="1" t="s">
        <v>2801</v>
      </c>
    </row>
    <row r="100" spans="1:6" x14ac:dyDescent="0.2">
      <c r="B100" s="1" t="s">
        <v>2802</v>
      </c>
    </row>
    <row r="101" spans="1:6" x14ac:dyDescent="0.2">
      <c r="B101" s="1" t="s">
        <v>2803</v>
      </c>
    </row>
    <row r="103" spans="1:6" x14ac:dyDescent="0.2">
      <c r="A103" s="1" t="s">
        <v>1192</v>
      </c>
    </row>
    <row r="104" spans="1:6" x14ac:dyDescent="0.2">
      <c r="A104" s="1" t="s">
        <v>2804</v>
      </c>
    </row>
    <row r="106" spans="1:6" x14ac:dyDescent="0.2">
      <c r="A106" s="7">
        <v>44926</v>
      </c>
      <c r="B106" s="1" t="s">
        <v>1193</v>
      </c>
      <c r="F106" s="8">
        <f>C96</f>
        <v>1000000</v>
      </c>
    </row>
    <row r="107" spans="1:6" x14ac:dyDescent="0.2">
      <c r="B107" s="1" t="s">
        <v>1194</v>
      </c>
      <c r="F107" s="8">
        <f>F106</f>
        <v>1000000</v>
      </c>
    </row>
    <row r="109" spans="1:6" x14ac:dyDescent="0.2">
      <c r="A109" s="7">
        <v>44926</v>
      </c>
      <c r="B109" s="1" t="s">
        <v>1195</v>
      </c>
    </row>
    <row r="110" spans="1:6" x14ac:dyDescent="0.2">
      <c r="A110" s="7"/>
      <c r="B110" s="1" t="s">
        <v>1206</v>
      </c>
    </row>
    <row r="111" spans="1:6" x14ac:dyDescent="0.2">
      <c r="A111" s="7"/>
      <c r="B111" s="1" t="s">
        <v>1207</v>
      </c>
    </row>
    <row r="112" spans="1:6" x14ac:dyDescent="0.2">
      <c r="A112" s="7"/>
      <c r="B112" s="1" t="s">
        <v>1208</v>
      </c>
    </row>
    <row r="113" spans="1:8" x14ac:dyDescent="0.2">
      <c r="B113" s="1" t="s">
        <v>1196</v>
      </c>
      <c r="F113" s="8">
        <f>F107</f>
        <v>1000000</v>
      </c>
    </row>
    <row r="114" spans="1:8" x14ac:dyDescent="0.2">
      <c r="B114" s="1" t="s">
        <v>972</v>
      </c>
      <c r="F114" s="8">
        <f>F113</f>
        <v>1000000</v>
      </c>
    </row>
    <row r="116" spans="1:8" x14ac:dyDescent="0.2">
      <c r="A116" s="7">
        <v>45291</v>
      </c>
      <c r="B116" s="1" t="s">
        <v>1197</v>
      </c>
    </row>
    <row r="117" spans="1:8" x14ac:dyDescent="0.2">
      <c r="B117" s="1" t="s">
        <v>1198</v>
      </c>
      <c r="F117" s="8">
        <f>F114/20</f>
        <v>50000</v>
      </c>
      <c r="H117" s="1" t="s">
        <v>1200</v>
      </c>
    </row>
    <row r="118" spans="1:8" x14ac:dyDescent="0.2">
      <c r="B118" s="1" t="s">
        <v>1199</v>
      </c>
      <c r="F118" s="8">
        <f>F117</f>
        <v>50000</v>
      </c>
    </row>
    <row r="119" spans="1:8" x14ac:dyDescent="0.2">
      <c r="F119" s="8"/>
    </row>
    <row r="120" spans="1:8" x14ac:dyDescent="0.2">
      <c r="B120" s="1" t="s">
        <v>1203</v>
      </c>
      <c r="F120" s="8"/>
    </row>
    <row r="121" spans="1:8" x14ac:dyDescent="0.2">
      <c r="B121" s="1" t="s">
        <v>1204</v>
      </c>
      <c r="F121" s="8"/>
    </row>
    <row r="122" spans="1:8" x14ac:dyDescent="0.2">
      <c r="B122" s="1" t="s">
        <v>1205</v>
      </c>
      <c r="F122" s="8"/>
    </row>
    <row r="123" spans="1:8" x14ac:dyDescent="0.2">
      <c r="B123" s="1" t="s">
        <v>1201</v>
      </c>
      <c r="F123" s="8">
        <f>F117</f>
        <v>50000</v>
      </c>
    </row>
    <row r="124" spans="1:8" x14ac:dyDescent="0.2">
      <c r="B124" s="1" t="s">
        <v>1202</v>
      </c>
      <c r="F124" s="8">
        <f>F123</f>
        <v>50000</v>
      </c>
    </row>
    <row r="125" spans="1:8" ht="17" thickBot="1" x14ac:dyDescent="0.25">
      <c r="F125" s="8"/>
    </row>
    <row r="126" spans="1:8" x14ac:dyDescent="0.2">
      <c r="A126" s="128" t="s">
        <v>1209</v>
      </c>
      <c r="B126" s="23"/>
      <c r="C126" s="23"/>
      <c r="D126" s="23"/>
      <c r="E126" s="23"/>
      <c r="F126" s="129"/>
      <c r="G126" s="23"/>
      <c r="H126" s="35"/>
    </row>
    <row r="127" spans="1:8" x14ac:dyDescent="0.2">
      <c r="A127" s="26" t="s">
        <v>1210</v>
      </c>
      <c r="F127" s="8"/>
      <c r="H127" s="36"/>
    </row>
    <row r="128" spans="1:8" x14ac:dyDescent="0.2">
      <c r="A128" s="26" t="s">
        <v>2805</v>
      </c>
      <c r="F128" s="8"/>
      <c r="H128" s="36"/>
    </row>
    <row r="129" spans="1:8" ht="17" thickBot="1" x14ac:dyDescent="0.25">
      <c r="A129" s="28" t="s">
        <v>1211</v>
      </c>
      <c r="B129" s="29"/>
      <c r="C129" s="29"/>
      <c r="D129" s="29"/>
      <c r="E129" s="29"/>
      <c r="F129" s="65"/>
      <c r="G129" s="29"/>
      <c r="H129" s="37"/>
    </row>
    <row r="130" spans="1:8" x14ac:dyDescent="0.2">
      <c r="F130" s="8"/>
    </row>
    <row r="131" spans="1:8" x14ac:dyDescent="0.2">
      <c r="A131" s="1" t="s">
        <v>2806</v>
      </c>
      <c r="F131" s="8"/>
    </row>
    <row r="132" spans="1:8" x14ac:dyDescent="0.2">
      <c r="A132" s="1" t="s">
        <v>2807</v>
      </c>
      <c r="F132" s="8"/>
    </row>
    <row r="133" spans="1:8" x14ac:dyDescent="0.2">
      <c r="F133" s="8"/>
    </row>
    <row r="134" spans="1:8" x14ac:dyDescent="0.2">
      <c r="A134" s="1" t="s">
        <v>1233</v>
      </c>
      <c r="F134" s="8"/>
    </row>
    <row r="135" spans="1:8" x14ac:dyDescent="0.2">
      <c r="A135" s="1" t="s">
        <v>1234</v>
      </c>
      <c r="F135" s="8"/>
    </row>
    <row r="136" spans="1:8" x14ac:dyDescent="0.2">
      <c r="A136" s="1" t="s">
        <v>1235</v>
      </c>
      <c r="F136" s="8"/>
    </row>
    <row r="137" spans="1:8" x14ac:dyDescent="0.2">
      <c r="F137" s="8"/>
    </row>
    <row r="138" spans="1:8" x14ac:dyDescent="0.2">
      <c r="A138" s="1" t="s">
        <v>1236</v>
      </c>
      <c r="F138" s="8"/>
    </row>
    <row r="139" spans="1:8" x14ac:dyDescent="0.2">
      <c r="A139" s="1" t="s">
        <v>1237</v>
      </c>
      <c r="F139" s="8"/>
    </row>
    <row r="140" spans="1:8" x14ac:dyDescent="0.2">
      <c r="F140" s="8"/>
    </row>
    <row r="141" spans="1:8" x14ac:dyDescent="0.2">
      <c r="A141" s="7">
        <v>44926</v>
      </c>
      <c r="B141" s="1" t="s">
        <v>1193</v>
      </c>
      <c r="E141" s="8">
        <v>2000000</v>
      </c>
      <c r="F141" s="8"/>
    </row>
    <row r="142" spans="1:8" x14ac:dyDescent="0.2">
      <c r="B142" s="1" t="s">
        <v>1212</v>
      </c>
      <c r="E142" s="8">
        <f>E141</f>
        <v>2000000</v>
      </c>
      <c r="F142" s="8"/>
    </row>
    <row r="143" spans="1:8" x14ac:dyDescent="0.2">
      <c r="F143" s="8"/>
    </row>
    <row r="144" spans="1:8" x14ac:dyDescent="0.2">
      <c r="B144" s="1" t="s">
        <v>1213</v>
      </c>
      <c r="F144" s="8"/>
    </row>
    <row r="145" spans="1:7" x14ac:dyDescent="0.2">
      <c r="B145" s="1" t="s">
        <v>1214</v>
      </c>
      <c r="F145" s="8"/>
    </row>
    <row r="146" spans="1:7" x14ac:dyDescent="0.2">
      <c r="F146" s="8"/>
    </row>
    <row r="147" spans="1:7" x14ac:dyDescent="0.2">
      <c r="A147" s="7">
        <v>45291</v>
      </c>
      <c r="B147" s="1" t="s">
        <v>1215</v>
      </c>
      <c r="F147" s="8"/>
    </row>
    <row r="148" spans="1:7" x14ac:dyDescent="0.2">
      <c r="A148" s="7"/>
      <c r="F148" s="8"/>
    </row>
    <row r="149" spans="1:7" x14ac:dyDescent="0.2">
      <c r="A149" s="7"/>
      <c r="B149" s="1" t="s">
        <v>2808</v>
      </c>
      <c r="F149" s="8"/>
    </row>
    <row r="150" spans="1:7" x14ac:dyDescent="0.2">
      <c r="B150" s="1" t="s">
        <v>2809</v>
      </c>
      <c r="F150" s="8"/>
    </row>
    <row r="151" spans="1:7" x14ac:dyDescent="0.2">
      <c r="B151" s="1" t="s">
        <v>2810</v>
      </c>
      <c r="F151" s="8"/>
    </row>
    <row r="152" spans="1:7" x14ac:dyDescent="0.2">
      <c r="F152" s="8"/>
    </row>
    <row r="153" spans="1:7" x14ac:dyDescent="0.2">
      <c r="B153" s="1" t="s">
        <v>1216</v>
      </c>
      <c r="E153" s="8">
        <f>2000000/5</f>
        <v>400000</v>
      </c>
      <c r="F153" s="8"/>
    </row>
    <row r="154" spans="1:7" x14ac:dyDescent="0.2">
      <c r="B154" s="1" t="s">
        <v>1218</v>
      </c>
      <c r="E154" s="8">
        <f>E153</f>
        <v>400000</v>
      </c>
      <c r="F154" s="8"/>
      <c r="G154" s="1" t="s">
        <v>1217</v>
      </c>
    </row>
    <row r="155" spans="1:7" x14ac:dyDescent="0.2">
      <c r="F155" s="8"/>
    </row>
    <row r="156" spans="1:7" x14ac:dyDescent="0.2">
      <c r="B156" s="1" t="s">
        <v>1219</v>
      </c>
      <c r="F156" s="8"/>
    </row>
    <row r="157" spans="1:7" x14ac:dyDescent="0.2">
      <c r="B157" s="1" t="s">
        <v>1220</v>
      </c>
      <c r="F157" s="8"/>
    </row>
    <row r="158" spans="1:7" x14ac:dyDescent="0.2">
      <c r="B158" s="1" t="s">
        <v>1221</v>
      </c>
      <c r="F158" s="8"/>
    </row>
    <row r="159" spans="1:7" x14ac:dyDescent="0.2">
      <c r="F159" s="8"/>
    </row>
    <row r="160" spans="1:7" x14ac:dyDescent="0.2">
      <c r="B160" s="1" t="s">
        <v>1222</v>
      </c>
      <c r="E160" s="8">
        <f>E154</f>
        <v>400000</v>
      </c>
      <c r="F160" s="8" t="s">
        <v>2811</v>
      </c>
    </row>
    <row r="161" spans="1:7" x14ac:dyDescent="0.2">
      <c r="B161" s="1" t="s">
        <v>1223</v>
      </c>
      <c r="E161" s="8">
        <f>E160</f>
        <v>400000</v>
      </c>
      <c r="F161" s="8" t="s">
        <v>2812</v>
      </c>
    </row>
    <row r="162" spans="1:7" x14ac:dyDescent="0.2">
      <c r="E162" s="8"/>
      <c r="F162" s="8"/>
    </row>
    <row r="163" spans="1:7" x14ac:dyDescent="0.2">
      <c r="A163" s="7">
        <v>45291</v>
      </c>
      <c r="B163" s="1" t="s">
        <v>1224</v>
      </c>
      <c r="E163" s="8"/>
      <c r="F163" s="8"/>
    </row>
    <row r="164" spans="1:7" x14ac:dyDescent="0.2">
      <c r="A164" s="7"/>
      <c r="B164" s="1" t="s">
        <v>1228</v>
      </c>
      <c r="E164" s="8"/>
      <c r="F164" s="8"/>
    </row>
    <row r="165" spans="1:7" x14ac:dyDescent="0.2">
      <c r="A165" s="7"/>
      <c r="B165" s="1" t="s">
        <v>2813</v>
      </c>
      <c r="E165" s="8"/>
      <c r="F165" s="8"/>
    </row>
    <row r="166" spans="1:7" x14ac:dyDescent="0.2">
      <c r="E166" s="8"/>
      <c r="F166" s="8"/>
    </row>
    <row r="167" spans="1:7" x14ac:dyDescent="0.2">
      <c r="B167" s="1" t="s">
        <v>1198</v>
      </c>
      <c r="E167" s="8">
        <f>100000</f>
        <v>100000</v>
      </c>
      <c r="F167" s="8"/>
      <c r="G167" s="1" t="s">
        <v>1225</v>
      </c>
    </row>
    <row r="168" spans="1:7" x14ac:dyDescent="0.2">
      <c r="B168" s="1" t="s">
        <v>1199</v>
      </c>
      <c r="E168" s="8">
        <f>E167</f>
        <v>100000</v>
      </c>
      <c r="F168" s="8"/>
    </row>
    <row r="169" spans="1:7" x14ac:dyDescent="0.2">
      <c r="F169" s="8"/>
    </row>
    <row r="170" spans="1:7" x14ac:dyDescent="0.2">
      <c r="B170" s="1" t="s">
        <v>1229</v>
      </c>
      <c r="F170" s="8"/>
    </row>
    <row r="171" spans="1:7" x14ac:dyDescent="0.2">
      <c r="B171" s="1" t="s">
        <v>1230</v>
      </c>
      <c r="F171" s="8"/>
    </row>
    <row r="172" spans="1:7" x14ac:dyDescent="0.2">
      <c r="B172" s="1" t="s">
        <v>1231</v>
      </c>
      <c r="F172" s="8"/>
    </row>
    <row r="173" spans="1:7" x14ac:dyDescent="0.2">
      <c r="B173" s="1" t="s">
        <v>1232</v>
      </c>
      <c r="F173" s="8"/>
    </row>
    <row r="174" spans="1:7" x14ac:dyDescent="0.2">
      <c r="F174" s="8"/>
    </row>
    <row r="175" spans="1:7" x14ac:dyDescent="0.2">
      <c r="B175" s="1" t="s">
        <v>1227</v>
      </c>
      <c r="E175" s="8">
        <f>E168</f>
        <v>100000</v>
      </c>
      <c r="F175" s="8"/>
    </row>
    <row r="176" spans="1:7" x14ac:dyDescent="0.2">
      <c r="B176" s="1" t="s">
        <v>1226</v>
      </c>
      <c r="E176" s="8">
        <f>E175</f>
        <v>100000</v>
      </c>
      <c r="F176" s="8"/>
    </row>
    <row r="177" spans="1:8" ht="17" thickBot="1" x14ac:dyDescent="0.25">
      <c r="E177" s="8"/>
      <c r="F177" s="8"/>
    </row>
    <row r="178" spans="1:8" x14ac:dyDescent="0.2">
      <c r="A178" s="128" t="s">
        <v>1239</v>
      </c>
      <c r="B178" s="23"/>
      <c r="C178" s="23"/>
      <c r="D178" s="23"/>
      <c r="E178" s="129"/>
      <c r="F178" s="129"/>
      <c r="G178" s="23"/>
      <c r="H178" s="35"/>
    </row>
    <row r="179" spans="1:8" x14ac:dyDescent="0.2">
      <c r="A179" s="26" t="s">
        <v>2814</v>
      </c>
      <c r="E179" s="8"/>
      <c r="F179" s="8"/>
      <c r="H179" s="36"/>
    </row>
    <row r="180" spans="1:8" ht="17" thickBot="1" x14ac:dyDescent="0.25">
      <c r="A180" s="28" t="s">
        <v>1238</v>
      </c>
      <c r="B180" s="29"/>
      <c r="C180" s="29"/>
      <c r="D180" s="29"/>
      <c r="E180" s="65"/>
      <c r="F180" s="65"/>
      <c r="G180" s="29"/>
      <c r="H180" s="37"/>
    </row>
    <row r="181" spans="1:8" x14ac:dyDescent="0.2">
      <c r="E181" s="8"/>
      <c r="F181" s="8"/>
    </row>
    <row r="182" spans="1:8" x14ac:dyDescent="0.2">
      <c r="A182" s="1" t="s">
        <v>1240</v>
      </c>
      <c r="E182" s="8"/>
      <c r="F182" s="8"/>
    </row>
    <row r="183" spans="1:8" x14ac:dyDescent="0.2">
      <c r="A183" s="1" t="s">
        <v>1241</v>
      </c>
      <c r="E183" s="8"/>
      <c r="F183" s="8"/>
    </row>
    <row r="184" spans="1:8" x14ac:dyDescent="0.2">
      <c r="E184" s="8"/>
      <c r="F184" s="8"/>
    </row>
    <row r="185" spans="1:8" x14ac:dyDescent="0.2">
      <c r="A185" s="7">
        <v>44652</v>
      </c>
      <c r="B185" s="1" t="s">
        <v>1242</v>
      </c>
      <c r="D185" s="8">
        <v>2000000</v>
      </c>
      <c r="E185" s="8" t="s">
        <v>2816</v>
      </c>
      <c r="F185" s="8"/>
    </row>
    <row r="186" spans="1:8" x14ac:dyDescent="0.2">
      <c r="B186" s="1" t="s">
        <v>1212</v>
      </c>
      <c r="D186" s="8">
        <f>D185</f>
        <v>2000000</v>
      </c>
      <c r="E186" s="8" t="s">
        <v>2815</v>
      </c>
      <c r="F186" s="8"/>
    </row>
    <row r="187" spans="1:8" x14ac:dyDescent="0.2">
      <c r="E187" s="8"/>
      <c r="F187" s="8"/>
    </row>
    <row r="188" spans="1:8" x14ac:dyDescent="0.2">
      <c r="B188" s="1" t="s">
        <v>1243</v>
      </c>
      <c r="E188" s="8"/>
      <c r="F188" s="8"/>
    </row>
    <row r="189" spans="1:8" x14ac:dyDescent="0.2">
      <c r="B189" s="1" t="s">
        <v>1244</v>
      </c>
      <c r="E189" s="8"/>
      <c r="F189" s="8"/>
    </row>
    <row r="190" spans="1:8" x14ac:dyDescent="0.2">
      <c r="E190" s="8"/>
      <c r="F190" s="8"/>
    </row>
    <row r="191" spans="1:8" x14ac:dyDescent="0.2">
      <c r="A191" s="1">
        <v>2022</v>
      </c>
      <c r="B191" s="1" t="s">
        <v>1193</v>
      </c>
      <c r="D191" s="8">
        <v>800000</v>
      </c>
      <c r="E191" s="8"/>
      <c r="F191" s="8"/>
    </row>
    <row r="192" spans="1:8" x14ac:dyDescent="0.2">
      <c r="B192" s="1" t="s">
        <v>1245</v>
      </c>
      <c r="D192" s="8">
        <f>D191</f>
        <v>800000</v>
      </c>
      <c r="F192" s="8"/>
    </row>
    <row r="193" spans="1:6" x14ac:dyDescent="0.2">
      <c r="F193" s="8"/>
    </row>
    <row r="194" spans="1:6" x14ac:dyDescent="0.2">
      <c r="B194" s="1" t="s">
        <v>1246</v>
      </c>
      <c r="F194" s="8"/>
    </row>
    <row r="195" spans="1:6" x14ac:dyDescent="0.2">
      <c r="F195" s="8"/>
    </row>
    <row r="196" spans="1:6" x14ac:dyDescent="0.2">
      <c r="A196" s="1">
        <v>2023</v>
      </c>
      <c r="B196" s="1" t="s">
        <v>1193</v>
      </c>
      <c r="D196" s="8">
        <v>1500000</v>
      </c>
      <c r="F196" s="8"/>
    </row>
    <row r="197" spans="1:6" x14ac:dyDescent="0.2">
      <c r="B197" s="1" t="s">
        <v>1245</v>
      </c>
      <c r="D197" s="8">
        <v>1200000</v>
      </c>
      <c r="E197" s="1" t="s">
        <v>2817</v>
      </c>
      <c r="F197" s="8"/>
    </row>
    <row r="198" spans="1:6" x14ac:dyDescent="0.2">
      <c r="B198" s="1" t="s">
        <v>1000</v>
      </c>
      <c r="D198" s="8">
        <f>D196-D197</f>
        <v>300000</v>
      </c>
      <c r="E198" s="1" t="s">
        <v>2818</v>
      </c>
      <c r="F198" s="8"/>
    </row>
    <row r="199" spans="1:6" x14ac:dyDescent="0.2">
      <c r="F199" s="8"/>
    </row>
    <row r="200" spans="1:6" x14ac:dyDescent="0.2">
      <c r="A200" s="7">
        <v>45107</v>
      </c>
      <c r="B200" s="1" t="s">
        <v>1247</v>
      </c>
      <c r="F200" s="8"/>
    </row>
    <row r="201" spans="1:6" x14ac:dyDescent="0.2">
      <c r="F201" s="8"/>
    </row>
    <row r="202" spans="1:6" x14ac:dyDescent="0.2">
      <c r="B202" s="1" t="s">
        <v>1248</v>
      </c>
      <c r="F202" s="8"/>
    </row>
    <row r="203" spans="1:6" x14ac:dyDescent="0.2">
      <c r="F203" s="8"/>
    </row>
    <row r="204" spans="1:6" x14ac:dyDescent="0.2">
      <c r="B204" s="1" t="s">
        <v>1216</v>
      </c>
      <c r="D204" s="8">
        <f>D186</f>
        <v>2000000</v>
      </c>
      <c r="F204" s="8"/>
    </row>
    <row r="205" spans="1:6" x14ac:dyDescent="0.2">
      <c r="B205" s="1" t="s">
        <v>1218</v>
      </c>
      <c r="D205" s="8">
        <f>D204</f>
        <v>2000000</v>
      </c>
      <c r="F205" s="8"/>
    </row>
    <row r="206" spans="1:6" x14ac:dyDescent="0.2">
      <c r="F206" s="8"/>
    </row>
    <row r="207" spans="1:6" x14ac:dyDescent="0.2">
      <c r="B207" s="1" t="s">
        <v>1249</v>
      </c>
      <c r="F207" s="8"/>
    </row>
    <row r="208" spans="1:6" x14ac:dyDescent="0.2">
      <c r="B208" s="1" t="s">
        <v>1250</v>
      </c>
      <c r="F208" s="8"/>
    </row>
    <row r="209" spans="1:8" x14ac:dyDescent="0.2">
      <c r="F209" s="8"/>
    </row>
    <row r="210" spans="1:8" x14ac:dyDescent="0.2">
      <c r="B210" s="1" t="s">
        <v>1222</v>
      </c>
      <c r="E210" s="8">
        <f>E211</f>
        <v>2300000</v>
      </c>
      <c r="F210" s="8"/>
    </row>
    <row r="211" spans="1:8" x14ac:dyDescent="0.2">
      <c r="B211" s="1" t="s">
        <v>1223</v>
      </c>
      <c r="E211" s="8">
        <v>2300000</v>
      </c>
      <c r="F211" s="8"/>
    </row>
    <row r="212" spans="1:8" x14ac:dyDescent="0.2">
      <c r="F212" s="8"/>
    </row>
    <row r="213" spans="1:8" x14ac:dyDescent="0.2">
      <c r="A213" s="7">
        <v>45291</v>
      </c>
      <c r="B213" s="1" t="s">
        <v>1252</v>
      </c>
      <c r="F213" s="8"/>
    </row>
    <row r="214" spans="1:8" x14ac:dyDescent="0.2">
      <c r="B214" s="1" t="s">
        <v>1253</v>
      </c>
      <c r="F214" s="8"/>
    </row>
    <row r="215" spans="1:8" x14ac:dyDescent="0.2">
      <c r="F215" s="8"/>
    </row>
    <row r="216" spans="1:8" x14ac:dyDescent="0.2">
      <c r="B216" s="1" t="s">
        <v>1198</v>
      </c>
      <c r="E216" s="8">
        <f>2300000/40*0.5</f>
        <v>28750</v>
      </c>
      <c r="F216" s="8"/>
      <c r="G216" s="1" t="s">
        <v>1251</v>
      </c>
    </row>
    <row r="217" spans="1:8" x14ac:dyDescent="0.2">
      <c r="B217" s="1" t="s">
        <v>1199</v>
      </c>
      <c r="E217" s="8">
        <f>E216</f>
        <v>28750</v>
      </c>
      <c r="F217" s="8"/>
    </row>
    <row r="218" spans="1:8" x14ac:dyDescent="0.2">
      <c r="F218" s="8"/>
    </row>
    <row r="219" spans="1:8" x14ac:dyDescent="0.2">
      <c r="B219" s="1" t="s">
        <v>1227</v>
      </c>
      <c r="E219" s="8">
        <f>E216</f>
        <v>28750</v>
      </c>
      <c r="F219" s="8"/>
    </row>
    <row r="220" spans="1:8" x14ac:dyDescent="0.2">
      <c r="B220" s="1" t="s">
        <v>1226</v>
      </c>
      <c r="E220" s="8">
        <f>E219</f>
        <v>28750</v>
      </c>
      <c r="F220" s="8"/>
    </row>
    <row r="221" spans="1:8" ht="17" thickBot="1" x14ac:dyDescent="0.25">
      <c r="E221" s="8"/>
      <c r="F221" s="8"/>
    </row>
    <row r="222" spans="1:8" ht="17" thickBot="1" x14ac:dyDescent="0.25">
      <c r="A222" s="130" t="s">
        <v>1254</v>
      </c>
      <c r="B222" s="67"/>
      <c r="C222" s="67"/>
      <c r="D222" s="67"/>
      <c r="E222" s="131"/>
      <c r="F222" s="131"/>
      <c r="G222" s="67"/>
      <c r="H222" s="132"/>
    </row>
    <row r="223" spans="1:8" x14ac:dyDescent="0.2">
      <c r="E223" s="8"/>
      <c r="F223" s="8"/>
    </row>
    <row r="224" spans="1:8" x14ac:dyDescent="0.2">
      <c r="A224" s="1" t="s">
        <v>1255</v>
      </c>
      <c r="E224" s="8"/>
      <c r="F224" s="8"/>
    </row>
    <row r="225" spans="1:8" x14ac:dyDescent="0.2">
      <c r="A225" s="1" t="s">
        <v>1256</v>
      </c>
      <c r="E225" s="8"/>
      <c r="F225" s="8"/>
    </row>
    <row r="226" spans="1:8" x14ac:dyDescent="0.2">
      <c r="E226" s="8"/>
      <c r="F226" s="8"/>
    </row>
    <row r="227" spans="1:8" x14ac:dyDescent="0.2">
      <c r="B227" s="1" t="s">
        <v>1257</v>
      </c>
      <c r="F227" s="8">
        <v>40000</v>
      </c>
      <c r="G227" s="8"/>
      <c r="H227" s="8"/>
    </row>
    <row r="228" spans="1:8" x14ac:dyDescent="0.2">
      <c r="B228" s="1" t="s">
        <v>1000</v>
      </c>
      <c r="F228" s="8">
        <f>F227*0.75</f>
        <v>30000</v>
      </c>
      <c r="H228" s="8" t="s">
        <v>1258</v>
      </c>
    </row>
    <row r="229" spans="1:8" x14ac:dyDescent="0.2">
      <c r="B229" s="1" t="s">
        <v>1259</v>
      </c>
      <c r="E229" s="8"/>
      <c r="F229" s="8">
        <v>10000</v>
      </c>
    </row>
    <row r="250" spans="1:2" x14ac:dyDescent="0.2">
      <c r="A250" s="3" t="s">
        <v>206</v>
      </c>
    </row>
    <row r="251" spans="1:2" x14ac:dyDescent="0.2">
      <c r="A251" s="3"/>
    </row>
    <row r="252" spans="1:2" x14ac:dyDescent="0.2">
      <c r="A252" s="7">
        <v>44926</v>
      </c>
      <c r="B252" s="1" t="s">
        <v>1260</v>
      </c>
    </row>
    <row r="253" spans="1:2" x14ac:dyDescent="0.2">
      <c r="A253" s="3"/>
      <c r="B253" s="1" t="s">
        <v>1261</v>
      </c>
    </row>
    <row r="254" spans="1:2" x14ac:dyDescent="0.2">
      <c r="A254" s="3"/>
      <c r="B254" s="1" t="s">
        <v>2819</v>
      </c>
    </row>
    <row r="255" spans="1:2" x14ac:dyDescent="0.2">
      <c r="B255" s="1" t="s">
        <v>1262</v>
      </c>
    </row>
    <row r="256" spans="1:2" x14ac:dyDescent="0.2">
      <c r="B256" s="1" t="s">
        <v>1263</v>
      </c>
    </row>
    <row r="258" spans="1:8" x14ac:dyDescent="0.2">
      <c r="B258" s="1" t="s">
        <v>1264</v>
      </c>
      <c r="D258" s="10">
        <f>-PV(5%,10,15000,0)</f>
        <v>115826.02393777219</v>
      </c>
      <c r="E258" s="1" t="s">
        <v>1270</v>
      </c>
      <c r="G258" s="1" t="str">
        <f ca="1">_xlfn.FORMULATEXT(D258)</f>
        <v>=-PV(5%,10,15000,0)</v>
      </c>
    </row>
    <row r="259" spans="1:8" x14ac:dyDescent="0.2">
      <c r="B259" s="1" t="s">
        <v>1212</v>
      </c>
      <c r="D259" s="10">
        <f>D258</f>
        <v>115826.02393777219</v>
      </c>
    </row>
    <row r="261" spans="1:8" x14ac:dyDescent="0.2">
      <c r="B261" s="1" t="s">
        <v>2825</v>
      </c>
      <c r="F261" s="42">
        <v>0.05</v>
      </c>
      <c r="G261" s="1" t="s">
        <v>1267</v>
      </c>
      <c r="H261" s="1" t="s">
        <v>2820</v>
      </c>
    </row>
    <row r="262" spans="1:8" x14ac:dyDescent="0.2">
      <c r="B262" s="1" t="s">
        <v>2826</v>
      </c>
      <c r="F262" s="1">
        <v>10</v>
      </c>
      <c r="G262" s="1" t="s">
        <v>1268</v>
      </c>
      <c r="H262" s="1" t="s">
        <v>2821</v>
      </c>
    </row>
    <row r="263" spans="1:8" x14ac:dyDescent="0.2">
      <c r="B263" s="1" t="s">
        <v>2827</v>
      </c>
      <c r="F263" s="1">
        <v>15000</v>
      </c>
      <c r="G263" s="1" t="s">
        <v>1269</v>
      </c>
      <c r="H263" s="1" t="s">
        <v>2822</v>
      </c>
    </row>
    <row r="264" spans="1:8" x14ac:dyDescent="0.2">
      <c r="F264" s="357">
        <f>PV(F261,F262,F263,F265)</f>
        <v>-115826.02393777219</v>
      </c>
      <c r="G264" s="1" t="s">
        <v>1726</v>
      </c>
      <c r="H264" s="1" t="s">
        <v>2824</v>
      </c>
    </row>
    <row r="265" spans="1:8" x14ac:dyDescent="0.2">
      <c r="F265" s="1">
        <v>0</v>
      </c>
      <c r="G265" s="1" t="s">
        <v>1727</v>
      </c>
      <c r="H265" s="1" t="s">
        <v>2823</v>
      </c>
    </row>
    <row r="267" spans="1:8" x14ac:dyDescent="0.2">
      <c r="B267" s="1" t="s">
        <v>275</v>
      </c>
      <c r="C267" s="1" t="s">
        <v>2828</v>
      </c>
    </row>
    <row r="268" spans="1:8" x14ac:dyDescent="0.2">
      <c r="C268" s="1" t="s">
        <v>2829</v>
      </c>
    </row>
    <row r="269" spans="1:8" x14ac:dyDescent="0.2">
      <c r="C269" s="1" t="s">
        <v>1265</v>
      </c>
    </row>
    <row r="270" spans="1:8" x14ac:dyDescent="0.2">
      <c r="C270" s="1" t="s">
        <v>1266</v>
      </c>
    </row>
    <row r="272" spans="1:8" x14ac:dyDescent="0.2">
      <c r="A272" s="7">
        <v>45291</v>
      </c>
      <c r="B272" s="1" t="s">
        <v>1271</v>
      </c>
    </row>
    <row r="273" spans="2:10" x14ac:dyDescent="0.2">
      <c r="B273" s="1" t="s">
        <v>1272</v>
      </c>
      <c r="I273" s="178" t="s">
        <v>510</v>
      </c>
    </row>
    <row r="274" spans="2:10" x14ac:dyDescent="0.2">
      <c r="I274" s="42">
        <v>0.05</v>
      </c>
      <c r="J274" s="1" t="s">
        <v>1267</v>
      </c>
    </row>
    <row r="275" spans="2:10" x14ac:dyDescent="0.2">
      <c r="B275" s="1" t="s">
        <v>1273</v>
      </c>
      <c r="D275" s="10"/>
      <c r="E275" s="10">
        <f>D259</f>
        <v>115826.02393777219</v>
      </c>
      <c r="F275" s="10"/>
      <c r="I275" s="1">
        <v>10</v>
      </c>
      <c r="J275" s="1" t="s">
        <v>1268</v>
      </c>
    </row>
    <row r="276" spans="2:10" x14ac:dyDescent="0.2">
      <c r="B276" s="1" t="s">
        <v>1274</v>
      </c>
      <c r="D276" s="10"/>
      <c r="E276" s="42">
        <v>0.05</v>
      </c>
      <c r="I276" s="1">
        <v>15000</v>
      </c>
      <c r="J276" s="1" t="s">
        <v>1269</v>
      </c>
    </row>
    <row r="277" spans="2:10" x14ac:dyDescent="0.2">
      <c r="B277" s="1" t="s">
        <v>1275</v>
      </c>
      <c r="E277" s="10">
        <f>E275*E276</f>
        <v>5791.3011968886094</v>
      </c>
      <c r="G277" s="1" t="s">
        <v>1276</v>
      </c>
      <c r="I277" s="357">
        <f>PV(I274,I275,I276,I278,1)</f>
        <v>-121617.32513466082</v>
      </c>
      <c r="J277" s="1" t="s">
        <v>1726</v>
      </c>
    </row>
    <row r="278" spans="2:10" x14ac:dyDescent="0.2">
      <c r="I278" s="1">
        <v>0</v>
      </c>
      <c r="J278" s="1" t="s">
        <v>1727</v>
      </c>
    </row>
    <row r="279" spans="2:10" x14ac:dyDescent="0.2">
      <c r="B279" s="1" t="s">
        <v>1277</v>
      </c>
      <c r="D279" s="10">
        <f>E277</f>
        <v>5791.3011968886094</v>
      </c>
    </row>
    <row r="280" spans="2:10" x14ac:dyDescent="0.2">
      <c r="B280" s="1" t="s">
        <v>1212</v>
      </c>
      <c r="D280" s="10">
        <f>D279</f>
        <v>5791.3011968886094</v>
      </c>
      <c r="I280" s="1" t="s">
        <v>2830</v>
      </c>
    </row>
    <row r="281" spans="2:10" x14ac:dyDescent="0.2">
      <c r="I281" s="1" t="s">
        <v>2831</v>
      </c>
    </row>
    <row r="282" spans="2:10" x14ac:dyDescent="0.2">
      <c r="B282" s="1" t="s">
        <v>1278</v>
      </c>
      <c r="I282" s="1" t="s">
        <v>2832</v>
      </c>
    </row>
    <row r="283" spans="2:10" x14ac:dyDescent="0.2">
      <c r="B283" s="1" t="s">
        <v>1279</v>
      </c>
      <c r="I283" s="1" t="s">
        <v>2833</v>
      </c>
    </row>
    <row r="284" spans="2:10" x14ac:dyDescent="0.2">
      <c r="B284" s="1" t="s">
        <v>1280</v>
      </c>
      <c r="I284" s="1" t="s">
        <v>2834</v>
      </c>
    </row>
    <row r="285" spans="2:10" x14ac:dyDescent="0.2">
      <c r="I285" s="1" t="s">
        <v>2835</v>
      </c>
    </row>
    <row r="286" spans="2:10" x14ac:dyDescent="0.2">
      <c r="B286" s="1" t="s">
        <v>1281</v>
      </c>
      <c r="D286" s="8">
        <v>15000</v>
      </c>
      <c r="E286" s="1" t="s">
        <v>1282</v>
      </c>
      <c r="I286" s="1" t="s">
        <v>2836</v>
      </c>
    </row>
    <row r="287" spans="2:10" x14ac:dyDescent="0.2">
      <c r="B287" s="1" t="s">
        <v>1087</v>
      </c>
      <c r="D287" s="8">
        <f>D286</f>
        <v>15000</v>
      </c>
      <c r="E287" s="1" t="s">
        <v>1283</v>
      </c>
    </row>
    <row r="289" spans="1:4" x14ac:dyDescent="0.2">
      <c r="B289" s="1" t="s">
        <v>1284</v>
      </c>
    </row>
    <row r="290" spans="1:4" x14ac:dyDescent="0.2">
      <c r="B290" s="1" t="s">
        <v>1285</v>
      </c>
    </row>
    <row r="291" spans="1:4" x14ac:dyDescent="0.2">
      <c r="B291" s="1" t="s">
        <v>1216</v>
      </c>
      <c r="D291" s="8">
        <f>D292</f>
        <v>15000</v>
      </c>
    </row>
    <row r="292" spans="1:4" x14ac:dyDescent="0.2">
      <c r="B292" s="1" t="s">
        <v>1286</v>
      </c>
      <c r="D292" s="8">
        <v>15000</v>
      </c>
    </row>
    <row r="293" spans="1:4" x14ac:dyDescent="0.2">
      <c r="D293" s="8"/>
    </row>
    <row r="294" spans="1:4" x14ac:dyDescent="0.2">
      <c r="B294" s="1" t="s">
        <v>1287</v>
      </c>
      <c r="D294" s="8"/>
    </row>
    <row r="295" spans="1:4" x14ac:dyDescent="0.2">
      <c r="A295" s="1" t="s">
        <v>2839</v>
      </c>
      <c r="B295" s="1" t="s">
        <v>2837</v>
      </c>
      <c r="D295" s="8"/>
    </row>
    <row r="296" spans="1:4" x14ac:dyDescent="0.2">
      <c r="B296" s="1" t="s">
        <v>2838</v>
      </c>
      <c r="D296" s="8"/>
    </row>
    <row r="297" spans="1:4" x14ac:dyDescent="0.2">
      <c r="A297" s="1" t="s">
        <v>2840</v>
      </c>
      <c r="B297" s="1" t="s">
        <v>2841</v>
      </c>
      <c r="D297" s="8"/>
    </row>
    <row r="298" spans="1:4" x14ac:dyDescent="0.2">
      <c r="A298" s="1" t="s">
        <v>2842</v>
      </c>
      <c r="B298" s="1" t="s">
        <v>1288</v>
      </c>
      <c r="D298" s="8"/>
    </row>
    <row r="299" spans="1:4" x14ac:dyDescent="0.2">
      <c r="D299" s="8"/>
    </row>
    <row r="313" spans="1:8" x14ac:dyDescent="0.2">
      <c r="A313" s="3" t="s">
        <v>700</v>
      </c>
    </row>
    <row r="315" spans="1:8" x14ac:dyDescent="0.2">
      <c r="A315" s="84" t="s">
        <v>1317</v>
      </c>
      <c r="B315" s="84"/>
      <c r="C315" s="84"/>
      <c r="D315" s="84"/>
      <c r="E315" s="84"/>
      <c r="F315" s="84"/>
      <c r="G315" s="84"/>
      <c r="H315" s="84"/>
    </row>
    <row r="316" spans="1:8" x14ac:dyDescent="0.2">
      <c r="A316" s="84" t="s">
        <v>1318</v>
      </c>
      <c r="B316" s="84"/>
      <c r="C316" s="84"/>
      <c r="D316" s="84"/>
      <c r="E316" s="84"/>
      <c r="F316" s="84"/>
      <c r="G316" s="84"/>
      <c r="H316" s="84"/>
    </row>
    <row r="317" spans="1:8" x14ac:dyDescent="0.2">
      <c r="A317" s="84" t="s">
        <v>1319</v>
      </c>
      <c r="B317" s="84"/>
      <c r="C317" s="84"/>
      <c r="D317" s="84"/>
      <c r="E317" s="84"/>
      <c r="F317" s="84"/>
      <c r="G317" s="84"/>
      <c r="H317" s="84"/>
    </row>
    <row r="318" spans="1:8" x14ac:dyDescent="0.2">
      <c r="A318" s="84" t="s">
        <v>1320</v>
      </c>
      <c r="B318" s="84"/>
      <c r="C318" s="84"/>
      <c r="D318" s="84"/>
      <c r="E318" s="84"/>
      <c r="F318" s="84"/>
      <c r="G318" s="84"/>
      <c r="H318" s="84"/>
    </row>
    <row r="319" spans="1:8" x14ac:dyDescent="0.2">
      <c r="A319" s="84" t="s">
        <v>1321</v>
      </c>
      <c r="B319" s="84"/>
      <c r="C319" s="84"/>
      <c r="D319" s="84"/>
      <c r="E319" s="84"/>
      <c r="F319" s="84"/>
      <c r="G319" s="84"/>
      <c r="H319" s="84"/>
    </row>
    <row r="321" spans="1:7" x14ac:dyDescent="0.2">
      <c r="A321" s="1" t="s">
        <v>1289</v>
      </c>
    </row>
    <row r="322" spans="1:7" x14ac:dyDescent="0.2">
      <c r="A322" s="1" t="s">
        <v>1290</v>
      </c>
    </row>
    <row r="323" spans="1:7" x14ac:dyDescent="0.2">
      <c r="A323" s="1" t="s">
        <v>1291</v>
      </c>
    </row>
    <row r="325" spans="1:7" x14ac:dyDescent="0.2">
      <c r="A325" s="7">
        <v>44926</v>
      </c>
      <c r="B325" s="1" t="s">
        <v>1292</v>
      </c>
      <c r="D325" s="8">
        <f>PV(5%,10,-12000,0)</f>
        <v>92660.819150217751</v>
      </c>
      <c r="G325" s="1" t="str">
        <f ca="1">_xlfn.FORMULATEXT(D325)</f>
        <v>=PV(5%,10,-12000,0)</v>
      </c>
    </row>
    <row r="326" spans="1:7" x14ac:dyDescent="0.2">
      <c r="B326" s="1" t="s">
        <v>1293</v>
      </c>
      <c r="D326" s="8">
        <f>D325</f>
        <v>92660.819150217751</v>
      </c>
    </row>
    <row r="328" spans="1:7" x14ac:dyDescent="0.2">
      <c r="B328" s="1" t="s">
        <v>2843</v>
      </c>
    </row>
    <row r="329" spans="1:7" x14ac:dyDescent="0.2">
      <c r="B329" s="1" t="s">
        <v>2844</v>
      </c>
    </row>
    <row r="330" spans="1:7" x14ac:dyDescent="0.2">
      <c r="B330" s="1" t="s">
        <v>2845</v>
      </c>
    </row>
    <row r="331" spans="1:7" x14ac:dyDescent="0.2">
      <c r="B331" s="1" t="s">
        <v>2846</v>
      </c>
    </row>
    <row r="333" spans="1:7" x14ac:dyDescent="0.2">
      <c r="A333" s="1" t="s">
        <v>2850</v>
      </c>
    </row>
    <row r="334" spans="1:7" x14ac:dyDescent="0.2">
      <c r="A334" s="358" t="s">
        <v>2847</v>
      </c>
    </row>
    <row r="335" spans="1:7" x14ac:dyDescent="0.2">
      <c r="A335" s="358" t="s">
        <v>2849</v>
      </c>
    </row>
    <row r="336" spans="1:7" x14ac:dyDescent="0.2">
      <c r="A336" s="358" t="s">
        <v>2848</v>
      </c>
      <c r="D336" s="358"/>
    </row>
    <row r="337" spans="1:9" x14ac:dyDescent="0.2">
      <c r="A337" s="358"/>
      <c r="D337" s="358"/>
    </row>
    <row r="338" spans="1:9" x14ac:dyDescent="0.2">
      <c r="C338" s="1" t="s">
        <v>2851</v>
      </c>
      <c r="D338" s="358"/>
      <c r="F338" s="42">
        <v>0.05</v>
      </c>
      <c r="G338" s="1" t="s">
        <v>1267</v>
      </c>
      <c r="I338" s="1" t="s">
        <v>2855</v>
      </c>
    </row>
    <row r="339" spans="1:9" x14ac:dyDescent="0.2">
      <c r="C339" s="1" t="s">
        <v>2852</v>
      </c>
      <c r="D339" s="358"/>
      <c r="F339" s="1">
        <v>10</v>
      </c>
      <c r="G339" s="1" t="s">
        <v>1268</v>
      </c>
      <c r="I339" s="1" t="s">
        <v>2856</v>
      </c>
    </row>
    <row r="340" spans="1:9" x14ac:dyDescent="0.2">
      <c r="C340" s="1" t="s">
        <v>2853</v>
      </c>
      <c r="D340" s="358"/>
      <c r="F340" s="1">
        <v>-12000</v>
      </c>
      <c r="G340" s="1" t="s">
        <v>1269</v>
      </c>
      <c r="I340" s="1" t="s">
        <v>2857</v>
      </c>
    </row>
    <row r="341" spans="1:9" x14ac:dyDescent="0.2">
      <c r="C341" s="1" t="s">
        <v>2860</v>
      </c>
      <c r="D341" s="358"/>
      <c r="F341" s="357">
        <f>PV(F338,F339,F340,F342)</f>
        <v>92660.819150217751</v>
      </c>
      <c r="G341" s="1" t="s">
        <v>1726</v>
      </c>
      <c r="I341" s="1" t="s">
        <v>2858</v>
      </c>
    </row>
    <row r="342" spans="1:9" x14ac:dyDescent="0.2">
      <c r="C342" s="1" t="s">
        <v>2854</v>
      </c>
      <c r="D342" s="358"/>
      <c r="F342" s="1">
        <v>0</v>
      </c>
      <c r="G342" s="1" t="s">
        <v>1727</v>
      </c>
      <c r="I342" s="1" t="s">
        <v>2859</v>
      </c>
    </row>
    <row r="343" spans="1:9" x14ac:dyDescent="0.2">
      <c r="D343" s="358"/>
    </row>
    <row r="344" spans="1:9" x14ac:dyDescent="0.2">
      <c r="A344" s="1" t="s">
        <v>2861</v>
      </c>
      <c r="D344" s="358"/>
    </row>
    <row r="345" spans="1:9" x14ac:dyDescent="0.2">
      <c r="A345" s="1" t="s">
        <v>2862</v>
      </c>
      <c r="D345" s="358"/>
    </row>
    <row r="346" spans="1:9" x14ac:dyDescent="0.2">
      <c r="D346" s="358"/>
    </row>
    <row r="347" spans="1:9" x14ac:dyDescent="0.2">
      <c r="A347" s="1" t="s">
        <v>1294</v>
      </c>
    </row>
    <row r="348" spans="1:9" x14ac:dyDescent="0.2">
      <c r="A348" s="1" t="s">
        <v>1295</v>
      </c>
    </row>
    <row r="349" spans="1:9" x14ac:dyDescent="0.2">
      <c r="A349" s="1" t="s">
        <v>1296</v>
      </c>
    </row>
    <row r="350" spans="1:9" x14ac:dyDescent="0.2">
      <c r="A350" s="1" t="s">
        <v>1297</v>
      </c>
    </row>
    <row r="352" spans="1:9" x14ac:dyDescent="0.2">
      <c r="B352" s="1" t="s">
        <v>1078</v>
      </c>
      <c r="D352" s="8">
        <f>-PV(5%,10,6000,0)</f>
        <v>46330.409575108875</v>
      </c>
      <c r="G352" s="1" t="str">
        <f ca="1">_xlfn.FORMULATEXT(D352)</f>
        <v>=-PV(5%,10,6000,0)</v>
      </c>
    </row>
    <row r="353" spans="1:11" x14ac:dyDescent="0.2">
      <c r="B353" s="1" t="s">
        <v>1212</v>
      </c>
      <c r="D353" s="8">
        <f>D352</f>
        <v>46330.409575108875</v>
      </c>
      <c r="F353" s="1" t="s">
        <v>1298</v>
      </c>
    </row>
    <row r="354" spans="1:11" x14ac:dyDescent="0.2">
      <c r="F354" s="1" t="s">
        <v>1299</v>
      </c>
    </row>
    <row r="356" spans="1:11" x14ac:dyDescent="0.2">
      <c r="D356" s="1" t="s">
        <v>2851</v>
      </c>
      <c r="E356" s="358"/>
      <c r="G356" s="42">
        <v>0.05</v>
      </c>
      <c r="H356" s="1" t="s">
        <v>1267</v>
      </c>
      <c r="J356" s="1" t="s">
        <v>2863</v>
      </c>
    </row>
    <row r="357" spans="1:11" x14ac:dyDescent="0.2">
      <c r="D357" s="1" t="s">
        <v>2852</v>
      </c>
      <c r="E357" s="358"/>
      <c r="G357" s="1">
        <v>10</v>
      </c>
      <c r="H357" s="1" t="s">
        <v>1268</v>
      </c>
      <c r="J357" s="1" t="s">
        <v>2864</v>
      </c>
    </row>
    <row r="358" spans="1:11" x14ac:dyDescent="0.2">
      <c r="D358" s="1" t="s">
        <v>2868</v>
      </c>
      <c r="E358" s="358"/>
      <c r="G358" s="1">
        <v>6000</v>
      </c>
      <c r="H358" s="1" t="s">
        <v>1269</v>
      </c>
      <c r="J358" s="1" t="s">
        <v>2865</v>
      </c>
    </row>
    <row r="359" spans="1:11" x14ac:dyDescent="0.2">
      <c r="D359" s="1" t="s">
        <v>2860</v>
      </c>
      <c r="E359" s="358"/>
      <c r="G359" s="357">
        <f>PV(G356,G357,G358,G360)</f>
        <v>-46330.409575108875</v>
      </c>
      <c r="H359" s="1" t="s">
        <v>1726</v>
      </c>
      <c r="J359" s="1" t="s">
        <v>2866</v>
      </c>
    </row>
    <row r="360" spans="1:11" x14ac:dyDescent="0.2">
      <c r="D360" s="1" t="s">
        <v>2854</v>
      </c>
      <c r="E360" s="358"/>
      <c r="G360" s="1">
        <v>0</v>
      </c>
      <c r="H360" s="1" t="s">
        <v>1727</v>
      </c>
      <c r="J360" s="1" t="s">
        <v>2867</v>
      </c>
    </row>
    <row r="363" spans="1:11" x14ac:dyDescent="0.2">
      <c r="A363" s="7">
        <v>45291</v>
      </c>
      <c r="B363" s="1" t="s">
        <v>1300</v>
      </c>
    </row>
    <row r="364" spans="1:11" x14ac:dyDescent="0.2">
      <c r="B364" s="1" t="s">
        <v>1078</v>
      </c>
      <c r="D364" s="8">
        <f>D352*5%</f>
        <v>2316.5204787554439</v>
      </c>
      <c r="G364" s="1" t="s">
        <v>1301</v>
      </c>
      <c r="I364" s="1" t="s">
        <v>2869</v>
      </c>
    </row>
    <row r="365" spans="1:11" x14ac:dyDescent="0.2">
      <c r="B365" s="1" t="s">
        <v>1212</v>
      </c>
      <c r="D365" s="8">
        <f>D353*5%</f>
        <v>2316.5204787554439</v>
      </c>
      <c r="I365" s="1" t="s">
        <v>2870</v>
      </c>
    </row>
    <row r="367" spans="1:11" x14ac:dyDescent="0.2">
      <c r="F367" s="1" t="s">
        <v>2871</v>
      </c>
      <c r="H367" s="356">
        <f>-G359</f>
        <v>46330.409575108875</v>
      </c>
      <c r="J367" s="42">
        <v>0.05</v>
      </c>
      <c r="K367" s="1" t="s">
        <v>1267</v>
      </c>
    </row>
    <row r="368" spans="1:11" x14ac:dyDescent="0.2">
      <c r="F368" s="1" t="s">
        <v>2872</v>
      </c>
      <c r="H368" s="8">
        <f>D364</f>
        <v>2316.5204787554439</v>
      </c>
      <c r="J368" s="1">
        <v>10</v>
      </c>
      <c r="K368" s="1" t="s">
        <v>1268</v>
      </c>
    </row>
    <row r="369" spans="2:12" x14ac:dyDescent="0.2">
      <c r="F369" s="1" t="s">
        <v>2873</v>
      </c>
      <c r="H369" s="359">
        <f>H367+H368</f>
        <v>48646.930053864322</v>
      </c>
      <c r="J369" s="1">
        <v>6000</v>
      </c>
      <c r="K369" s="1" t="s">
        <v>1269</v>
      </c>
      <c r="L369" s="1" t="s">
        <v>2876</v>
      </c>
    </row>
    <row r="370" spans="2:12" x14ac:dyDescent="0.2">
      <c r="J370" s="357">
        <f>PV(J367,J368,J369,J371,J372)</f>
        <v>-48646.930053864322</v>
      </c>
      <c r="K370" s="1" t="s">
        <v>1726</v>
      </c>
      <c r="L370" s="1" t="s">
        <v>2875</v>
      </c>
    </row>
    <row r="371" spans="2:12" x14ac:dyDescent="0.2">
      <c r="J371" s="1">
        <v>0</v>
      </c>
      <c r="K371" s="1" t="s">
        <v>1727</v>
      </c>
    </row>
    <row r="372" spans="2:12" x14ac:dyDescent="0.2">
      <c r="J372" s="1">
        <v>1</v>
      </c>
      <c r="K372" s="1" t="s">
        <v>2874</v>
      </c>
    </row>
    <row r="374" spans="2:12" x14ac:dyDescent="0.2">
      <c r="B374" s="1" t="s">
        <v>2877</v>
      </c>
    </row>
    <row r="375" spans="2:12" x14ac:dyDescent="0.2">
      <c r="B375" s="1" t="s">
        <v>1281</v>
      </c>
      <c r="D375" s="8">
        <v>6000</v>
      </c>
    </row>
    <row r="376" spans="2:12" x14ac:dyDescent="0.2">
      <c r="B376" s="1" t="s">
        <v>1087</v>
      </c>
      <c r="D376" s="8">
        <f>D375</f>
        <v>6000</v>
      </c>
    </row>
    <row r="377" spans="2:12" x14ac:dyDescent="0.2">
      <c r="D377" s="8"/>
    </row>
    <row r="378" spans="2:12" x14ac:dyDescent="0.2">
      <c r="B378" s="1" t="s">
        <v>1302</v>
      </c>
      <c r="D378" s="8"/>
    </row>
    <row r="379" spans="2:12" x14ac:dyDescent="0.2">
      <c r="B379" s="1" t="s">
        <v>1216</v>
      </c>
      <c r="D379" s="8">
        <f>D375</f>
        <v>6000</v>
      </c>
    </row>
    <row r="380" spans="2:12" x14ac:dyDescent="0.2">
      <c r="B380" s="1" t="s">
        <v>1303</v>
      </c>
      <c r="D380" s="8">
        <f>D379</f>
        <v>6000</v>
      </c>
    </row>
    <row r="381" spans="2:12" x14ac:dyDescent="0.2">
      <c r="D381" s="8"/>
    </row>
    <row r="382" spans="2:12" x14ac:dyDescent="0.2">
      <c r="B382" s="1" t="s">
        <v>1304</v>
      </c>
      <c r="D382" s="8"/>
    </row>
    <row r="383" spans="2:12" x14ac:dyDescent="0.2">
      <c r="B383" s="1" t="s">
        <v>1305</v>
      </c>
      <c r="D383" s="8"/>
    </row>
    <row r="384" spans="2:12" x14ac:dyDescent="0.2">
      <c r="D384" s="8"/>
    </row>
    <row r="385" spans="2:8" x14ac:dyDescent="0.2">
      <c r="B385" s="1" t="s">
        <v>1198</v>
      </c>
      <c r="D385" s="8">
        <f>D325/10</f>
        <v>9266.0819150217758</v>
      </c>
      <c r="G385" s="1" t="s">
        <v>1307</v>
      </c>
      <c r="H385" s="1" t="s">
        <v>2878</v>
      </c>
    </row>
    <row r="386" spans="2:8" x14ac:dyDescent="0.2">
      <c r="B386" s="1" t="s">
        <v>1306</v>
      </c>
      <c r="D386" s="8">
        <f>D385</f>
        <v>9266.0819150217758</v>
      </c>
      <c r="H386" s="1" t="s">
        <v>2879</v>
      </c>
    </row>
    <row r="387" spans="2:8" x14ac:dyDescent="0.2">
      <c r="D387" s="8"/>
    </row>
    <row r="388" spans="2:8" x14ac:dyDescent="0.2">
      <c r="B388" s="1" t="s">
        <v>1308</v>
      </c>
      <c r="D388" s="8"/>
    </row>
    <row r="389" spans="2:8" x14ac:dyDescent="0.2">
      <c r="B389" s="1" t="s">
        <v>1309</v>
      </c>
      <c r="D389" s="8">
        <f>92661*5%</f>
        <v>4633.05</v>
      </c>
      <c r="G389" s="1" t="s">
        <v>1310</v>
      </c>
    </row>
    <row r="390" spans="2:8" x14ac:dyDescent="0.2">
      <c r="B390" s="1" t="s">
        <v>1311</v>
      </c>
      <c r="D390" s="8">
        <f>D391-D389</f>
        <v>7366.95</v>
      </c>
      <c r="E390" s="55" t="s">
        <v>782</v>
      </c>
    </row>
    <row r="391" spans="2:8" x14ac:dyDescent="0.2">
      <c r="B391" s="1" t="s">
        <v>1000</v>
      </c>
      <c r="D391" s="8">
        <v>12000</v>
      </c>
    </row>
    <row r="392" spans="2:8" x14ac:dyDescent="0.2">
      <c r="D392" s="8"/>
    </row>
    <row r="393" spans="2:8" x14ac:dyDescent="0.2">
      <c r="B393" s="1" t="s">
        <v>1312</v>
      </c>
      <c r="D393" s="8"/>
    </row>
    <row r="394" spans="2:8" x14ac:dyDescent="0.2">
      <c r="B394" s="1" t="s">
        <v>1313</v>
      </c>
      <c r="D394" s="8"/>
    </row>
    <row r="395" spans="2:8" x14ac:dyDescent="0.2">
      <c r="B395" s="1" t="s">
        <v>1314</v>
      </c>
    </row>
    <row r="396" spans="2:8" x14ac:dyDescent="0.2">
      <c r="B396" s="1" t="s">
        <v>1315</v>
      </c>
      <c r="G396" s="1" t="s">
        <v>1316</v>
      </c>
    </row>
    <row r="495" spans="1:8" ht="17" thickBot="1" x14ac:dyDescent="0.25"/>
    <row r="496" spans="1:8" x14ac:dyDescent="0.2">
      <c r="A496" s="22" t="s">
        <v>1322</v>
      </c>
      <c r="B496" s="23"/>
      <c r="C496" s="23"/>
      <c r="D496" s="23"/>
      <c r="E496" s="23"/>
      <c r="F496" s="23"/>
      <c r="G496" s="23"/>
      <c r="H496" s="35"/>
    </row>
    <row r="497" spans="1:8" x14ac:dyDescent="0.2">
      <c r="A497" s="26" t="s">
        <v>1323</v>
      </c>
      <c r="H497" s="36"/>
    </row>
    <row r="498" spans="1:8" x14ac:dyDescent="0.2">
      <c r="A498" s="26" t="s">
        <v>1324</v>
      </c>
      <c r="H498" s="36"/>
    </row>
    <row r="499" spans="1:8" x14ac:dyDescent="0.2">
      <c r="A499" s="26" t="s">
        <v>1325</v>
      </c>
      <c r="H499" s="36"/>
    </row>
    <row r="500" spans="1:8" x14ac:dyDescent="0.2">
      <c r="A500" s="26" t="s">
        <v>1326</v>
      </c>
      <c r="H500" s="36"/>
    </row>
    <row r="501" spans="1:8" x14ac:dyDescent="0.2">
      <c r="A501" s="26"/>
      <c r="H501" s="36"/>
    </row>
    <row r="502" spans="1:8" x14ac:dyDescent="0.2">
      <c r="A502" s="26" t="s">
        <v>1327</v>
      </c>
      <c r="H502" s="36"/>
    </row>
    <row r="503" spans="1:8" x14ac:dyDescent="0.2">
      <c r="A503" s="26" t="s">
        <v>1328</v>
      </c>
      <c r="H503" s="36"/>
    </row>
    <row r="504" spans="1:8" x14ac:dyDescent="0.2">
      <c r="A504" s="26"/>
      <c r="H504" s="36"/>
    </row>
    <row r="505" spans="1:8" x14ac:dyDescent="0.2">
      <c r="A505" s="26" t="s">
        <v>1329</v>
      </c>
      <c r="H505" s="36"/>
    </row>
    <row r="506" spans="1:8" x14ac:dyDescent="0.2">
      <c r="A506" s="26" t="s">
        <v>1330</v>
      </c>
      <c r="H506" s="36"/>
    </row>
    <row r="507" spans="1:8" x14ac:dyDescent="0.2">
      <c r="A507" s="26" t="s">
        <v>1331</v>
      </c>
      <c r="H507" s="36"/>
    </row>
    <row r="508" spans="1:8" x14ac:dyDescent="0.2">
      <c r="A508" s="26" t="s">
        <v>1332</v>
      </c>
      <c r="H508" s="36"/>
    </row>
    <row r="509" spans="1:8" x14ac:dyDescent="0.2">
      <c r="A509" s="26"/>
      <c r="H509" s="36"/>
    </row>
    <row r="510" spans="1:8" x14ac:dyDescent="0.2">
      <c r="A510" s="26" t="s">
        <v>1333</v>
      </c>
      <c r="H510" s="36"/>
    </row>
    <row r="511" spans="1:8" ht="17" thickBot="1" x14ac:dyDescent="0.25">
      <c r="A511" s="28" t="s">
        <v>1334</v>
      </c>
      <c r="B511" s="29"/>
      <c r="C511" s="29"/>
      <c r="D511" s="29"/>
      <c r="E511" s="29"/>
      <c r="F511" s="29"/>
      <c r="G511" s="29"/>
      <c r="H511" s="37"/>
    </row>
  </sheetData>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02DFFF-622E-7743-B559-8DB886F8F579}">
  <dimension ref="A1:K406"/>
  <sheetViews>
    <sheetView rightToLeft="1" topLeftCell="A377" zoomScale="323" zoomScaleNormal="370" workbookViewId="0">
      <selection activeCell="F391" sqref="F391"/>
    </sheetView>
  </sheetViews>
  <sheetFormatPr baseColWidth="10" defaultRowHeight="16" x14ac:dyDescent="0.2"/>
  <cols>
    <col min="1" max="16384" width="10.83203125" style="1"/>
  </cols>
  <sheetData>
    <row r="1" spans="1:8" x14ac:dyDescent="0.2">
      <c r="A1" s="6" t="s">
        <v>2880</v>
      </c>
      <c r="B1" s="6"/>
      <c r="C1" s="6"/>
      <c r="D1" s="6"/>
      <c r="E1" s="6"/>
      <c r="F1" s="6"/>
      <c r="G1" s="34">
        <v>45651</v>
      </c>
      <c r="H1" s="6" t="s">
        <v>11</v>
      </c>
    </row>
    <row r="36" spans="1:8" x14ac:dyDescent="0.2">
      <c r="A36" s="1" t="s">
        <v>1352</v>
      </c>
    </row>
    <row r="38" spans="1:8" x14ac:dyDescent="0.2">
      <c r="A38" s="7">
        <v>44562</v>
      </c>
      <c r="B38" s="1" t="s">
        <v>988</v>
      </c>
      <c r="E38" s="8">
        <v>300000</v>
      </c>
    </row>
    <row r="39" spans="1:8" x14ac:dyDescent="0.2">
      <c r="B39" s="1" t="s">
        <v>1343</v>
      </c>
      <c r="E39" s="8">
        <f>PV(10%,20,-10000)</f>
        <v>85135.63719758566</v>
      </c>
      <c r="H39" s="1" t="str">
        <f ca="1">_xlfn.FORMULATEXT(E39)</f>
        <v>=PV(10%,20,-10000)</v>
      </c>
    </row>
    <row r="40" spans="1:8" x14ac:dyDescent="0.2">
      <c r="B40" s="1" t="s">
        <v>1344</v>
      </c>
      <c r="E40" s="8">
        <f>E38-E39</f>
        <v>214864.36280241434</v>
      </c>
      <c r="F40" s="1" t="s">
        <v>1345</v>
      </c>
    </row>
    <row r="42" spans="1:8" x14ac:dyDescent="0.2">
      <c r="A42" s="1" t="s">
        <v>1346</v>
      </c>
    </row>
    <row r="44" spans="1:8" s="96" customFormat="1" x14ac:dyDescent="0.2">
      <c r="A44" s="193">
        <v>44926</v>
      </c>
      <c r="B44" s="96" t="s">
        <v>1349</v>
      </c>
      <c r="E44" s="157">
        <f>E39*10%</f>
        <v>8513.5637197585656</v>
      </c>
      <c r="H44" s="96" t="s">
        <v>1348</v>
      </c>
    </row>
    <row r="45" spans="1:8" s="96" customFormat="1" x14ac:dyDescent="0.2">
      <c r="B45" s="96" t="s">
        <v>1353</v>
      </c>
      <c r="E45" s="157">
        <f>E46-E44</f>
        <v>1486.4362802414344</v>
      </c>
    </row>
    <row r="46" spans="1:8" x14ac:dyDescent="0.2">
      <c r="B46" s="1" t="s">
        <v>1000</v>
      </c>
      <c r="E46" s="8">
        <v>10000</v>
      </c>
    </row>
    <row r="48" spans="1:8" x14ac:dyDescent="0.2">
      <c r="B48" s="2" t="s">
        <v>275</v>
      </c>
      <c r="C48" s="1" t="s">
        <v>1350</v>
      </c>
    </row>
    <row r="49" spans="1:9" x14ac:dyDescent="0.2">
      <c r="C49" s="1" t="s">
        <v>1351</v>
      </c>
    </row>
    <row r="51" spans="1:9" x14ac:dyDescent="0.2">
      <c r="A51" s="1" t="s">
        <v>1354</v>
      </c>
    </row>
    <row r="53" spans="1:9" x14ac:dyDescent="0.2">
      <c r="A53" s="7">
        <v>44926</v>
      </c>
      <c r="B53" s="1" t="s">
        <v>1355</v>
      </c>
      <c r="F53" s="8">
        <f>E39-E45</f>
        <v>83649.20091734422</v>
      </c>
      <c r="H53" s="1" t="s">
        <v>1356</v>
      </c>
    </row>
    <row r="54" spans="1:9" x14ac:dyDescent="0.2">
      <c r="A54" s="7">
        <v>44926</v>
      </c>
      <c r="B54" s="1" t="s">
        <v>1357</v>
      </c>
      <c r="F54" s="8">
        <f>PV(8%,22,-10000)</f>
        <v>102007.43662079299</v>
      </c>
      <c r="H54" s="1" t="str">
        <f ca="1">_xlfn.FORMULATEXT(F54)</f>
        <v>=PV(8%,22,-10000)</v>
      </c>
    </row>
    <row r="55" spans="1:9" x14ac:dyDescent="0.2">
      <c r="A55" s="7"/>
      <c r="B55" s="1" t="s">
        <v>1360</v>
      </c>
      <c r="F55" s="46">
        <f>F54-F53</f>
        <v>18358.235703448765</v>
      </c>
      <c r="H55" s="1" t="s">
        <v>1361</v>
      </c>
    </row>
    <row r="56" spans="1:9" x14ac:dyDescent="0.2">
      <c r="F56" s="8"/>
    </row>
    <row r="57" spans="1:9" x14ac:dyDescent="0.2">
      <c r="B57" s="1" t="s">
        <v>1358</v>
      </c>
    </row>
    <row r="58" spans="1:9" x14ac:dyDescent="0.2">
      <c r="B58" s="1" t="s">
        <v>1359</v>
      </c>
      <c r="G58" s="361" t="s">
        <v>2881</v>
      </c>
      <c r="H58" s="361"/>
      <c r="I58" s="361"/>
    </row>
    <row r="59" spans="1:9" x14ac:dyDescent="0.2">
      <c r="G59" s="361"/>
      <c r="H59" s="361" t="s">
        <v>2882</v>
      </c>
      <c r="I59" s="361"/>
    </row>
    <row r="60" spans="1:9" x14ac:dyDescent="0.2">
      <c r="B60" s="1" t="s">
        <v>1362</v>
      </c>
    </row>
    <row r="61" spans="1:9" x14ac:dyDescent="0.2">
      <c r="B61" s="1" t="s">
        <v>1363</v>
      </c>
      <c r="E61" s="8">
        <f>F55</f>
        <v>18358.235703448765</v>
      </c>
    </row>
    <row r="62" spans="1:9" x14ac:dyDescent="0.2">
      <c r="B62" s="1" t="s">
        <v>1364</v>
      </c>
      <c r="E62" s="8">
        <f>E61</f>
        <v>18358.235703448765</v>
      </c>
    </row>
    <row r="64" spans="1:9" x14ac:dyDescent="0.2">
      <c r="B64" s="1" t="s">
        <v>1365</v>
      </c>
    </row>
    <row r="65" spans="1:2" x14ac:dyDescent="0.2">
      <c r="B65" s="1" t="s">
        <v>1366</v>
      </c>
    </row>
    <row r="67" spans="1:2" x14ac:dyDescent="0.2">
      <c r="A67" s="1" t="s">
        <v>1367</v>
      </c>
      <c r="B67" s="1" t="s">
        <v>1368</v>
      </c>
    </row>
    <row r="68" spans="1:2" x14ac:dyDescent="0.2">
      <c r="B68" s="1" t="s">
        <v>1369</v>
      </c>
    </row>
    <row r="82" spans="1:8" x14ac:dyDescent="0.2">
      <c r="A82" s="1" t="s">
        <v>1370</v>
      </c>
    </row>
    <row r="84" spans="1:8" x14ac:dyDescent="0.2">
      <c r="A84" s="7">
        <v>44562</v>
      </c>
      <c r="B84" s="1" t="s">
        <v>1371</v>
      </c>
      <c r="E84" s="8">
        <v>300000</v>
      </c>
      <c r="F84" s="1" t="s">
        <v>1374</v>
      </c>
    </row>
    <row r="85" spans="1:8" x14ac:dyDescent="0.2">
      <c r="B85" s="1" t="s">
        <v>1372</v>
      </c>
      <c r="E85" s="8">
        <f>PV(10%,20,-10000)</f>
        <v>85135.63719758566</v>
      </c>
      <c r="G85" s="1" t="str">
        <f ca="1">_xlfn.FORMULATEXT(E85)</f>
        <v>=PV(10%,20,-10000)</v>
      </c>
    </row>
    <row r="86" spans="1:8" x14ac:dyDescent="0.2">
      <c r="B86" s="1" t="s">
        <v>1373</v>
      </c>
      <c r="E86" s="8">
        <f>E84-E85</f>
        <v>214864.36280241434</v>
      </c>
      <c r="F86" s="1" t="s">
        <v>782</v>
      </c>
    </row>
    <row r="88" spans="1:8" x14ac:dyDescent="0.2">
      <c r="A88" s="3" t="s">
        <v>1382</v>
      </c>
      <c r="B88" s="3"/>
      <c r="C88" s="3"/>
      <c r="D88" s="3"/>
      <c r="E88" s="3"/>
      <c r="F88" s="3"/>
      <c r="G88" s="3"/>
      <c r="H88" s="3"/>
    </row>
    <row r="89" spans="1:8" x14ac:dyDescent="0.2">
      <c r="A89" s="3" t="s">
        <v>1375</v>
      </c>
      <c r="B89" s="3"/>
      <c r="C89" s="3"/>
      <c r="D89" s="3"/>
      <c r="E89" s="3"/>
      <c r="F89" s="3"/>
      <c r="G89" s="3"/>
      <c r="H89" s="3"/>
    </row>
    <row r="90" spans="1:8" x14ac:dyDescent="0.2">
      <c r="A90" s="3" t="s">
        <v>1376</v>
      </c>
    </row>
    <row r="92" spans="1:8" x14ac:dyDescent="0.2">
      <c r="A92" s="1" t="s">
        <v>1377</v>
      </c>
    </row>
    <row r="93" spans="1:8" x14ac:dyDescent="0.2">
      <c r="A93" s="1" t="s">
        <v>1378</v>
      </c>
    </row>
    <row r="95" spans="1:8" x14ac:dyDescent="0.2">
      <c r="A95" s="7">
        <v>44562</v>
      </c>
      <c r="B95" s="1" t="s">
        <v>1222</v>
      </c>
      <c r="E95" s="8">
        <f>E84</f>
        <v>300000</v>
      </c>
      <c r="G95" s="8">
        <f>E86</f>
        <v>214864.36280241434</v>
      </c>
      <c r="H95" s="1" t="s">
        <v>1379</v>
      </c>
    </row>
    <row r="96" spans="1:8" x14ac:dyDescent="0.2">
      <c r="B96" s="1" t="s">
        <v>1223</v>
      </c>
      <c r="E96" s="8">
        <f>E95</f>
        <v>300000</v>
      </c>
      <c r="F96" s="1" t="s">
        <v>1381</v>
      </c>
    </row>
    <row r="97" spans="1:10" x14ac:dyDescent="0.2">
      <c r="G97" s="8">
        <f>E96-G95</f>
        <v>85135.63719758566</v>
      </c>
      <c r="H97" s="1" t="s">
        <v>1380</v>
      </c>
    </row>
    <row r="99" spans="1:10" x14ac:dyDescent="0.2">
      <c r="A99" s="1" t="s">
        <v>2883</v>
      </c>
    </row>
    <row r="101" spans="1:10" x14ac:dyDescent="0.2">
      <c r="A101" s="1" t="s">
        <v>417</v>
      </c>
      <c r="B101" s="1" t="s">
        <v>1222</v>
      </c>
      <c r="E101" s="8">
        <f>G95</f>
        <v>214864.36280241434</v>
      </c>
      <c r="G101" s="1" t="s">
        <v>420</v>
      </c>
      <c r="H101" s="1" t="s">
        <v>1222</v>
      </c>
      <c r="J101" s="8">
        <f>J102</f>
        <v>85135.63719758566</v>
      </c>
    </row>
    <row r="102" spans="1:10" x14ac:dyDescent="0.2">
      <c r="B102" s="1" t="s">
        <v>2884</v>
      </c>
      <c r="E102" s="8">
        <f>E101</f>
        <v>214864.36280241434</v>
      </c>
      <c r="H102" s="1" t="s">
        <v>2884</v>
      </c>
      <c r="J102" s="8">
        <f>G97</f>
        <v>85135.63719758566</v>
      </c>
    </row>
    <row r="104" spans="1:10" x14ac:dyDescent="0.2">
      <c r="A104" s="1" t="s">
        <v>1383</v>
      </c>
    </row>
    <row r="106" spans="1:10" x14ac:dyDescent="0.2">
      <c r="A106" s="7">
        <v>44926</v>
      </c>
      <c r="B106" s="1" t="s">
        <v>1198</v>
      </c>
      <c r="E106" s="8">
        <f>300000/15</f>
        <v>20000</v>
      </c>
      <c r="G106" s="1" t="s">
        <v>1384</v>
      </c>
    </row>
    <row r="107" spans="1:10" x14ac:dyDescent="0.2">
      <c r="B107" s="1" t="s">
        <v>1199</v>
      </c>
      <c r="E107" s="8">
        <f>E106</f>
        <v>20000</v>
      </c>
    </row>
    <row r="108" spans="1:10" x14ac:dyDescent="0.2">
      <c r="E108" s="8"/>
    </row>
    <row r="109" spans="1:10" x14ac:dyDescent="0.2">
      <c r="A109" s="1" t="s">
        <v>1385</v>
      </c>
      <c r="E109" s="8"/>
    </row>
    <row r="110" spans="1:10" x14ac:dyDescent="0.2">
      <c r="A110" s="7">
        <v>44926</v>
      </c>
      <c r="B110" s="1" t="s">
        <v>1227</v>
      </c>
      <c r="E110" s="8">
        <f>E107</f>
        <v>20000</v>
      </c>
    </row>
    <row r="111" spans="1:10" x14ac:dyDescent="0.2">
      <c r="B111" s="1" t="s">
        <v>1386</v>
      </c>
      <c r="E111" s="8">
        <f>E110</f>
        <v>20000</v>
      </c>
    </row>
    <row r="112" spans="1:10" x14ac:dyDescent="0.2">
      <c r="E112" s="8"/>
    </row>
    <row r="113" spans="1:7" x14ac:dyDescent="0.2">
      <c r="A113" s="1" t="s">
        <v>1387</v>
      </c>
      <c r="E113" s="8"/>
    </row>
    <row r="114" spans="1:7" x14ac:dyDescent="0.2">
      <c r="A114" s="7">
        <v>44926</v>
      </c>
      <c r="B114" s="1" t="s">
        <v>1309</v>
      </c>
      <c r="E114" s="8">
        <v>8514</v>
      </c>
      <c r="G114" s="1" t="s">
        <v>1348</v>
      </c>
    </row>
    <row r="115" spans="1:7" x14ac:dyDescent="0.2">
      <c r="B115" s="1" t="s">
        <v>1388</v>
      </c>
      <c r="E115" s="8">
        <f>E116-E114</f>
        <v>1486</v>
      </c>
      <c r="G115" s="1" t="s">
        <v>1389</v>
      </c>
    </row>
    <row r="116" spans="1:7" x14ac:dyDescent="0.2">
      <c r="B116" s="1" t="s">
        <v>1000</v>
      </c>
      <c r="E116" s="8">
        <v>10000</v>
      </c>
    </row>
    <row r="117" spans="1:7" x14ac:dyDescent="0.2">
      <c r="E117" s="8"/>
    </row>
    <row r="118" spans="1:7" x14ac:dyDescent="0.2">
      <c r="A118" s="7">
        <v>44926</v>
      </c>
      <c r="B118" s="1" t="s">
        <v>2885</v>
      </c>
      <c r="E118" s="8"/>
    </row>
    <row r="119" spans="1:7" x14ac:dyDescent="0.2">
      <c r="B119" s="1" t="s">
        <v>1390</v>
      </c>
      <c r="E119" s="8"/>
    </row>
    <row r="120" spans="1:7" x14ac:dyDescent="0.2">
      <c r="E120" s="8"/>
    </row>
    <row r="121" spans="1:7" x14ac:dyDescent="0.2">
      <c r="B121" s="1" t="s">
        <v>1391</v>
      </c>
      <c r="E121" s="8"/>
    </row>
    <row r="122" spans="1:7" x14ac:dyDescent="0.2">
      <c r="B122" s="1" t="s">
        <v>1347</v>
      </c>
      <c r="E122" s="8">
        <f>85136-E115</f>
        <v>83650</v>
      </c>
      <c r="G122" s="1" t="s">
        <v>1356</v>
      </c>
    </row>
    <row r="123" spans="1:7" x14ac:dyDescent="0.2">
      <c r="B123" s="1" t="s">
        <v>1373</v>
      </c>
      <c r="E123" s="8">
        <f>E122</f>
        <v>83650</v>
      </c>
    </row>
    <row r="124" spans="1:7" x14ac:dyDescent="0.2">
      <c r="E124" s="8"/>
    </row>
    <row r="125" spans="1:7" x14ac:dyDescent="0.2">
      <c r="E125" s="8"/>
    </row>
    <row r="126" spans="1:7" x14ac:dyDescent="0.2">
      <c r="D126"/>
      <c r="E126" s="8"/>
    </row>
    <row r="127" spans="1:7" x14ac:dyDescent="0.2">
      <c r="E127" s="8"/>
    </row>
    <row r="162" spans="1:9" x14ac:dyDescent="0.2">
      <c r="A162" s="3" t="s">
        <v>1392</v>
      </c>
      <c r="F162" s="96" t="s">
        <v>1397</v>
      </c>
      <c r="G162" s="96"/>
      <c r="H162" s="96"/>
      <c r="I162" s="96"/>
    </row>
    <row r="163" spans="1:9" x14ac:dyDescent="0.2">
      <c r="B163" s="96" t="s">
        <v>988</v>
      </c>
      <c r="C163" s="96"/>
      <c r="D163" s="157">
        <v>110000</v>
      </c>
      <c r="E163" s="96"/>
      <c r="F163" s="96" t="s">
        <v>1394</v>
      </c>
      <c r="G163" s="96"/>
      <c r="H163" s="157">
        <v>110000</v>
      </c>
      <c r="I163" s="96"/>
    </row>
    <row r="164" spans="1:9" x14ac:dyDescent="0.2">
      <c r="B164" s="96" t="s">
        <v>968</v>
      </c>
      <c r="C164" s="96"/>
      <c r="D164" s="157">
        <v>20000</v>
      </c>
      <c r="E164" s="93"/>
      <c r="F164" s="96" t="s">
        <v>1395</v>
      </c>
      <c r="G164" s="96"/>
      <c r="H164" s="157">
        <v>80000</v>
      </c>
      <c r="I164" s="96"/>
    </row>
    <row r="165" spans="1:9" x14ac:dyDescent="0.2">
      <c r="B165" s="96" t="s">
        <v>1393</v>
      </c>
      <c r="C165" s="96"/>
      <c r="D165" s="157">
        <v>100000</v>
      </c>
      <c r="E165" s="93"/>
      <c r="F165" s="96" t="s">
        <v>1396</v>
      </c>
      <c r="G165" s="96"/>
      <c r="H165" s="157">
        <f>H163-H164</f>
        <v>30000</v>
      </c>
      <c r="I165" s="96"/>
    </row>
    <row r="166" spans="1:9" x14ac:dyDescent="0.2">
      <c r="B166" s="96" t="s">
        <v>1400</v>
      </c>
      <c r="C166" s="96"/>
      <c r="D166" s="157">
        <v>30000</v>
      </c>
      <c r="E166" s="96"/>
      <c r="F166" s="96"/>
      <c r="G166" s="96"/>
      <c r="H166" s="96"/>
      <c r="I166" s="96"/>
    </row>
    <row r="167" spans="1:9" x14ac:dyDescent="0.2">
      <c r="B167" s="96"/>
      <c r="C167" s="96"/>
      <c r="D167" s="96"/>
      <c r="E167" s="96"/>
      <c r="F167" s="96" t="s">
        <v>1398</v>
      </c>
      <c r="G167" s="96"/>
      <c r="H167" s="96"/>
      <c r="I167" s="96"/>
    </row>
    <row r="168" spans="1:9" x14ac:dyDescent="0.2">
      <c r="B168" s="93"/>
      <c r="C168" s="93"/>
      <c r="D168" s="93"/>
      <c r="E168" s="93"/>
      <c r="F168" s="93" t="s">
        <v>1399</v>
      </c>
      <c r="G168" s="93"/>
      <c r="H168" s="93"/>
    </row>
    <row r="170" spans="1:9" x14ac:dyDescent="0.2">
      <c r="A170" s="1" t="s">
        <v>1401</v>
      </c>
    </row>
    <row r="171" spans="1:9" x14ac:dyDescent="0.2">
      <c r="A171" s="1" t="s">
        <v>1402</v>
      </c>
    </row>
    <row r="173" spans="1:9" x14ac:dyDescent="0.2">
      <c r="B173" s="1" t="s">
        <v>1227</v>
      </c>
      <c r="E173" s="8">
        <v>80000</v>
      </c>
    </row>
    <row r="174" spans="1:9" x14ac:dyDescent="0.2">
      <c r="B174" s="1" t="s">
        <v>1403</v>
      </c>
      <c r="E174" s="8">
        <f>E173</f>
        <v>80000</v>
      </c>
    </row>
    <row r="176" spans="1:9" x14ac:dyDescent="0.2">
      <c r="A176" s="3" t="s">
        <v>1404</v>
      </c>
    </row>
    <row r="177" spans="2:5" x14ac:dyDescent="0.2">
      <c r="B177" s="1" t="s">
        <v>1405</v>
      </c>
    </row>
    <row r="178" spans="2:5" x14ac:dyDescent="0.2">
      <c r="B178" s="1" t="s">
        <v>1406</v>
      </c>
    </row>
    <row r="179" spans="2:5" x14ac:dyDescent="0.2">
      <c r="B179" s="1" t="s">
        <v>1407</v>
      </c>
    </row>
    <row r="180" spans="2:5" x14ac:dyDescent="0.2">
      <c r="B180" s="1" t="s">
        <v>988</v>
      </c>
      <c r="E180" s="8">
        <v>110000</v>
      </c>
    </row>
    <row r="181" spans="2:5" x14ac:dyDescent="0.2">
      <c r="B181" s="1" t="s">
        <v>968</v>
      </c>
      <c r="E181" s="8">
        <v>20000</v>
      </c>
    </row>
    <row r="182" spans="2:5" x14ac:dyDescent="0.2">
      <c r="B182" s="1" t="s">
        <v>1393</v>
      </c>
      <c r="E182" s="8">
        <v>100000</v>
      </c>
    </row>
    <row r="183" spans="2:5" x14ac:dyDescent="0.2">
      <c r="B183" s="1" t="s">
        <v>1408</v>
      </c>
      <c r="E183" s="8">
        <v>30000</v>
      </c>
    </row>
    <row r="204" spans="1:4" x14ac:dyDescent="0.2">
      <c r="A204" s="3" t="s">
        <v>1409</v>
      </c>
    </row>
    <row r="205" spans="1:4" x14ac:dyDescent="0.2">
      <c r="A205" s="7">
        <v>44562</v>
      </c>
      <c r="B205" s="1" t="s">
        <v>988</v>
      </c>
      <c r="C205" s="8">
        <v>150000</v>
      </c>
    </row>
    <row r="206" spans="1:4" x14ac:dyDescent="0.2">
      <c r="B206" s="1" t="s">
        <v>1410</v>
      </c>
      <c r="C206" s="8">
        <f>C205</f>
        <v>150000</v>
      </c>
      <c r="D206" s="1" t="s">
        <v>1411</v>
      </c>
    </row>
    <row r="208" spans="1:4" x14ac:dyDescent="0.2">
      <c r="A208" s="7">
        <v>44562</v>
      </c>
      <c r="B208" s="1" t="s">
        <v>1412</v>
      </c>
      <c r="C208" s="8">
        <f>C205</f>
        <v>150000</v>
      </c>
    </row>
    <row r="209" spans="1:6" x14ac:dyDescent="0.2">
      <c r="B209" s="1" t="s">
        <v>1000</v>
      </c>
      <c r="C209" s="8">
        <f>C208</f>
        <v>150000</v>
      </c>
    </row>
    <row r="211" spans="1:6" x14ac:dyDescent="0.2">
      <c r="A211" s="7">
        <v>44926</v>
      </c>
      <c r="B211" s="1" t="s">
        <v>1413</v>
      </c>
    </row>
    <row r="213" spans="1:6" x14ac:dyDescent="0.2">
      <c r="B213" s="1" t="s">
        <v>988</v>
      </c>
      <c r="C213" s="8">
        <f>C209*3%</f>
        <v>4500</v>
      </c>
      <c r="E213" s="1" t="s">
        <v>1414</v>
      </c>
      <c r="F213" s="1" t="s">
        <v>2886</v>
      </c>
    </row>
    <row r="214" spans="1:6" s="96" customFormat="1" x14ac:dyDescent="0.2">
      <c r="A214" s="96" t="s">
        <v>1020</v>
      </c>
      <c r="B214" s="96" t="s">
        <v>1410</v>
      </c>
      <c r="C214" s="157">
        <v>3000</v>
      </c>
      <c r="E214" s="96" t="s">
        <v>1416</v>
      </c>
      <c r="F214" s="96" t="s">
        <v>1415</v>
      </c>
    </row>
    <row r="215" spans="1:6" s="96" customFormat="1" x14ac:dyDescent="0.2">
      <c r="A215" s="96" t="s">
        <v>1023</v>
      </c>
      <c r="B215" s="96" t="s">
        <v>1410</v>
      </c>
      <c r="C215" s="157">
        <f>C213-C214</f>
        <v>1500</v>
      </c>
      <c r="E215" s="96" t="s">
        <v>1417</v>
      </c>
      <c r="F215" s="96" t="s">
        <v>1418</v>
      </c>
    </row>
    <row r="216" spans="1:6" x14ac:dyDescent="0.2">
      <c r="C216" s="8"/>
    </row>
    <row r="217" spans="1:6" x14ac:dyDescent="0.2">
      <c r="A217" s="1" t="s">
        <v>1367</v>
      </c>
      <c r="C217" s="8"/>
    </row>
    <row r="218" spans="1:6" x14ac:dyDescent="0.2">
      <c r="B218" s="1" t="s">
        <v>1419</v>
      </c>
      <c r="C218" s="8"/>
    </row>
    <row r="219" spans="1:6" x14ac:dyDescent="0.2">
      <c r="B219" s="1" t="s">
        <v>1420</v>
      </c>
    </row>
    <row r="220" spans="1:6" x14ac:dyDescent="0.2">
      <c r="B220" s="1" t="s">
        <v>1421</v>
      </c>
    </row>
    <row r="222" spans="1:6" x14ac:dyDescent="0.2">
      <c r="A222" s="1" t="s">
        <v>1020</v>
      </c>
      <c r="B222" s="1" t="s">
        <v>1424</v>
      </c>
    </row>
    <row r="223" spans="1:6" x14ac:dyDescent="0.2">
      <c r="A223" s="1" t="s">
        <v>1023</v>
      </c>
      <c r="B223" s="1" t="s">
        <v>1425</v>
      </c>
    </row>
    <row r="224" spans="1:6" x14ac:dyDescent="0.2">
      <c r="B224" s="1" t="s">
        <v>1426</v>
      </c>
    </row>
    <row r="226" spans="1:6" x14ac:dyDescent="0.2">
      <c r="A226" s="3" t="s">
        <v>1422</v>
      </c>
    </row>
    <row r="228" spans="1:6" x14ac:dyDescent="0.2">
      <c r="B228" s="1" t="s">
        <v>988</v>
      </c>
      <c r="D228" s="8">
        <f>C213</f>
        <v>4500</v>
      </c>
      <c r="F228" s="1" t="s">
        <v>1414</v>
      </c>
    </row>
    <row r="229" spans="1:6" x14ac:dyDescent="0.2">
      <c r="B229" s="1" t="s">
        <v>1410</v>
      </c>
      <c r="D229" s="8">
        <v>3000</v>
      </c>
      <c r="F229" s="1" t="s">
        <v>1416</v>
      </c>
    </row>
    <row r="230" spans="1:6" x14ac:dyDescent="0.2">
      <c r="B230" s="1" t="s">
        <v>1423</v>
      </c>
      <c r="D230" s="8">
        <f>D228-D229</f>
        <v>1500</v>
      </c>
      <c r="F230" s="1" t="s">
        <v>1417</v>
      </c>
    </row>
    <row r="232" spans="1:6" x14ac:dyDescent="0.2">
      <c r="A232" s="3" t="s">
        <v>2887</v>
      </c>
    </row>
    <row r="233" spans="1:6" x14ac:dyDescent="0.2">
      <c r="A233" s="1" t="s">
        <v>1427</v>
      </c>
    </row>
    <row r="234" spans="1:6" x14ac:dyDescent="0.2">
      <c r="A234" s="1" t="s">
        <v>1428</v>
      </c>
    </row>
    <row r="236" spans="1:6" x14ac:dyDescent="0.2">
      <c r="A236" s="7">
        <v>44562</v>
      </c>
      <c r="B236" s="1" t="s">
        <v>988</v>
      </c>
      <c r="C236" s="8">
        <v>150000</v>
      </c>
    </row>
    <row r="237" spans="1:6" x14ac:dyDescent="0.2">
      <c r="B237" s="1" t="s">
        <v>1410</v>
      </c>
      <c r="C237" s="8">
        <f>C236</f>
        <v>150000</v>
      </c>
      <c r="D237" s="1" t="s">
        <v>1411</v>
      </c>
    </row>
    <row r="239" spans="1:6" x14ac:dyDescent="0.2">
      <c r="A239" s="7">
        <v>44562</v>
      </c>
      <c r="B239" s="1" t="s">
        <v>1412</v>
      </c>
      <c r="C239" s="8">
        <f>C236</f>
        <v>150000</v>
      </c>
    </row>
    <row r="240" spans="1:6" x14ac:dyDescent="0.2">
      <c r="B240" s="1" t="s">
        <v>1000</v>
      </c>
      <c r="C240" s="8">
        <f>C239</f>
        <v>150000</v>
      </c>
    </row>
    <row r="242" spans="1:8" x14ac:dyDescent="0.2">
      <c r="A242" s="7">
        <v>44926</v>
      </c>
      <c r="B242" s="1" t="s">
        <v>1413</v>
      </c>
    </row>
    <row r="244" spans="1:8" x14ac:dyDescent="0.2">
      <c r="B244" s="1" t="s">
        <v>988</v>
      </c>
      <c r="C244" s="8">
        <f>C240*3%</f>
        <v>4500</v>
      </c>
      <c r="E244" s="1" t="s">
        <v>1414</v>
      </c>
    </row>
    <row r="245" spans="1:8" x14ac:dyDescent="0.2">
      <c r="B245" s="1" t="s">
        <v>1410</v>
      </c>
      <c r="C245" s="8">
        <f>150000*4.5%</f>
        <v>6750</v>
      </c>
      <c r="E245" s="1" t="s">
        <v>1429</v>
      </c>
      <c r="F245" s="1" t="s">
        <v>1415</v>
      </c>
    </row>
    <row r="246" spans="1:8" x14ac:dyDescent="0.2">
      <c r="B246" s="1" t="s">
        <v>1430</v>
      </c>
      <c r="C246" s="8">
        <f>C245-C244</f>
        <v>2250</v>
      </c>
      <c r="E246" s="1" t="s">
        <v>1431</v>
      </c>
      <c r="F246" s="1" t="s">
        <v>1418</v>
      </c>
    </row>
    <row r="254" spans="1:8" ht="17" thickBot="1" x14ac:dyDescent="0.25"/>
    <row r="255" spans="1:8" x14ac:dyDescent="0.2">
      <c r="A255" s="53" t="s">
        <v>1340</v>
      </c>
      <c r="B255" s="23"/>
      <c r="C255" s="23"/>
      <c r="D255" s="23"/>
      <c r="E255" s="23"/>
      <c r="F255" s="23"/>
      <c r="G255" s="23"/>
      <c r="H255" s="35"/>
    </row>
    <row r="256" spans="1:8" x14ac:dyDescent="0.2">
      <c r="A256" s="26" t="s">
        <v>1335</v>
      </c>
      <c r="H256" s="36"/>
    </row>
    <row r="257" spans="1:11" x14ac:dyDescent="0.2">
      <c r="A257" s="26"/>
      <c r="H257" s="36"/>
    </row>
    <row r="258" spans="1:11" x14ac:dyDescent="0.2">
      <c r="A258" s="26" t="s">
        <v>1336</v>
      </c>
      <c r="H258" s="36"/>
    </row>
    <row r="259" spans="1:11" x14ac:dyDescent="0.2">
      <c r="A259" s="26"/>
      <c r="H259" s="36"/>
    </row>
    <row r="260" spans="1:11" x14ac:dyDescent="0.2">
      <c r="A260" s="26" t="s">
        <v>1337</v>
      </c>
      <c r="H260" s="36"/>
    </row>
    <row r="261" spans="1:11" x14ac:dyDescent="0.2">
      <c r="A261" s="26" t="s">
        <v>1338</v>
      </c>
      <c r="H261" s="36"/>
    </row>
    <row r="262" spans="1:11" ht="17" thickBot="1" x14ac:dyDescent="0.25">
      <c r="A262" s="28" t="s">
        <v>1339</v>
      </c>
      <c r="B262" s="29"/>
      <c r="C262" s="29"/>
      <c r="D262" s="29"/>
      <c r="E262" s="29"/>
      <c r="F262" s="29"/>
      <c r="G262" s="29"/>
      <c r="H262" s="37"/>
    </row>
    <row r="263" spans="1:11" ht="17" thickBot="1" x14ac:dyDescent="0.25"/>
    <row r="264" spans="1:11" ht="17" thickBot="1" x14ac:dyDescent="0.25">
      <c r="A264" s="57" t="s">
        <v>1432</v>
      </c>
      <c r="B264" s="67"/>
      <c r="C264" s="67"/>
      <c r="D264" s="67"/>
      <c r="E264" s="67"/>
      <c r="F264" s="67"/>
      <c r="G264" s="67"/>
      <c r="H264" s="132"/>
    </row>
    <row r="266" spans="1:11" x14ac:dyDescent="0.2">
      <c r="A266" s="1" t="s">
        <v>1433</v>
      </c>
    </row>
    <row r="267" spans="1:11" x14ac:dyDescent="0.2">
      <c r="A267" s="1" t="s">
        <v>1434</v>
      </c>
      <c r="I267" s="31" t="s">
        <v>1436</v>
      </c>
      <c r="J267" s="31"/>
      <c r="K267" s="31"/>
    </row>
    <row r="268" spans="1:11" x14ac:dyDescent="0.2">
      <c r="A268" s="1" t="s">
        <v>1435</v>
      </c>
      <c r="I268" s="134" t="s">
        <v>1448</v>
      </c>
      <c r="J268" s="134"/>
      <c r="K268" s="134"/>
    </row>
    <row r="274" spans="1:2" x14ac:dyDescent="0.2">
      <c r="A274" s="1" t="s">
        <v>988</v>
      </c>
      <c r="B274" s="14">
        <v>80000</v>
      </c>
    </row>
    <row r="275" spans="1:2" x14ac:dyDescent="0.2">
      <c r="A275" s="1" t="s">
        <v>1410</v>
      </c>
      <c r="B275" s="133">
        <f>B274</f>
        <v>80000</v>
      </c>
    </row>
    <row r="282" spans="1:2" x14ac:dyDescent="0.2">
      <c r="A282" s="1" t="s">
        <v>1437</v>
      </c>
    </row>
    <row r="284" spans="1:2" x14ac:dyDescent="0.2">
      <c r="A284" s="1" t="s">
        <v>988</v>
      </c>
      <c r="B284" s="14">
        <v>30000</v>
      </c>
    </row>
    <row r="285" spans="1:2" x14ac:dyDescent="0.2">
      <c r="A285" s="1" t="s">
        <v>1410</v>
      </c>
      <c r="B285" s="133">
        <f>B284</f>
        <v>30000</v>
      </c>
    </row>
    <row r="287" spans="1:2" x14ac:dyDescent="0.2">
      <c r="A287" s="1" t="s">
        <v>1438</v>
      </c>
    </row>
    <row r="288" spans="1:2" x14ac:dyDescent="0.2">
      <c r="A288" s="1" t="s">
        <v>1439</v>
      </c>
    </row>
    <row r="289" spans="1:6" x14ac:dyDescent="0.2">
      <c r="A289" s="1" t="s">
        <v>1440</v>
      </c>
    </row>
    <row r="299" spans="1:6" x14ac:dyDescent="0.2">
      <c r="A299" s="1" t="s">
        <v>988</v>
      </c>
      <c r="C299" s="8">
        <v>120000</v>
      </c>
    </row>
    <row r="300" spans="1:6" x14ac:dyDescent="0.2">
      <c r="A300" s="1" t="s">
        <v>1441</v>
      </c>
      <c r="C300" s="8">
        <f>PV((1+3%)^(1/12)-1,24,-3000)</f>
        <v>69827.021574318293</v>
      </c>
      <c r="F300" s="1" t="str">
        <f ca="1">_xlfn.FORMULATEXT(C300)</f>
        <v>=PV((1+3%)^(1/12)-1,24,-3000)</v>
      </c>
    </row>
    <row r="301" spans="1:6" x14ac:dyDescent="0.2">
      <c r="A301" s="1" t="s">
        <v>1447</v>
      </c>
      <c r="C301" s="135">
        <f>C299-C300</f>
        <v>50172.978425681707</v>
      </c>
    </row>
    <row r="302" spans="1:6" x14ac:dyDescent="0.2">
      <c r="F302" s="1" t="s">
        <v>1442</v>
      </c>
    </row>
    <row r="303" spans="1:6" x14ac:dyDescent="0.2">
      <c r="F303" s="1" t="s">
        <v>1443</v>
      </c>
    </row>
    <row r="304" spans="1:6" x14ac:dyDescent="0.2">
      <c r="D304" s="1" t="s">
        <v>1445</v>
      </c>
      <c r="E304" s="1" t="s">
        <v>1444</v>
      </c>
    </row>
    <row r="305" spans="1:8" x14ac:dyDescent="0.2">
      <c r="D305" s="1" t="s">
        <v>1446</v>
      </c>
    </row>
    <row r="307" spans="1:8" x14ac:dyDescent="0.2">
      <c r="A307" s="1" t="s">
        <v>1449</v>
      </c>
    </row>
    <row r="308" spans="1:8" x14ac:dyDescent="0.2">
      <c r="A308" s="1" t="s">
        <v>1451</v>
      </c>
    </row>
    <row r="309" spans="1:8" x14ac:dyDescent="0.2">
      <c r="A309" s="54" t="s">
        <v>1452</v>
      </c>
    </row>
    <row r="310" spans="1:8" x14ac:dyDescent="0.2">
      <c r="A310" s="54" t="s">
        <v>1453</v>
      </c>
    </row>
    <row r="317" spans="1:8" s="96" customFormat="1" x14ac:dyDescent="0.2">
      <c r="A317" s="193">
        <v>42430</v>
      </c>
      <c r="B317" s="96" t="s">
        <v>1450</v>
      </c>
      <c r="E317" s="157">
        <f>C300</f>
        <v>69827.021574318293</v>
      </c>
      <c r="F317" s="96" t="s">
        <v>2888</v>
      </c>
    </row>
    <row r="318" spans="1:8" s="96" customFormat="1" x14ac:dyDescent="0.2">
      <c r="B318" s="96" t="s">
        <v>1454</v>
      </c>
      <c r="E318" s="80">
        <v>-12000</v>
      </c>
      <c r="H318" s="96" t="s">
        <v>1455</v>
      </c>
    </row>
    <row r="319" spans="1:8" s="96" customFormat="1" x14ac:dyDescent="0.2">
      <c r="B319" s="96" t="s">
        <v>2889</v>
      </c>
      <c r="E319" s="181">
        <f>E320-E318-E317</f>
        <v>646.93572368439345</v>
      </c>
      <c r="F319" s="96" t="s">
        <v>1457</v>
      </c>
    </row>
    <row r="320" spans="1:8" s="96" customFormat="1" x14ac:dyDescent="0.2">
      <c r="A320" s="193">
        <v>42551</v>
      </c>
      <c r="B320" s="96" t="s">
        <v>1456</v>
      </c>
      <c r="E320" s="176">
        <f>PV((1+3%)^(1/12)-1,24-4,-3000)</f>
        <v>58473.957298002686</v>
      </c>
      <c r="H320" s="96" t="str">
        <f ca="1">_xlfn.FORMULATEXT(E320)</f>
        <v>=PV((1+3%)^(1/12)-1,24-4,-3000)</v>
      </c>
    </row>
    <row r="321" spans="1:8" s="96" customFormat="1" x14ac:dyDescent="0.2">
      <c r="B321" s="96" t="s">
        <v>2890</v>
      </c>
      <c r="E321" s="177">
        <f>E322-E320</f>
        <v>44748.741532194967</v>
      </c>
    </row>
    <row r="322" spans="1:8" s="96" customFormat="1" x14ac:dyDescent="0.2">
      <c r="A322" s="193">
        <v>42552</v>
      </c>
      <c r="B322" s="96" t="s">
        <v>1458</v>
      </c>
      <c r="E322" s="176">
        <f>PV((1+3%)^(1/12)-1,36,-3000)</f>
        <v>103222.69883019765</v>
      </c>
      <c r="H322" s="96" t="str">
        <f ca="1">_xlfn.FORMULATEXT(E322)</f>
        <v>=PV((1+3%)^(1/12)-1,36,-3000)</v>
      </c>
    </row>
    <row r="323" spans="1:8" s="96" customFormat="1" x14ac:dyDescent="0.2">
      <c r="B323" s="96" t="s">
        <v>1459</v>
      </c>
      <c r="E323" s="80">
        <v>-18000</v>
      </c>
      <c r="H323" s="96" t="s">
        <v>1460</v>
      </c>
    </row>
    <row r="324" spans="1:8" s="96" customFormat="1" x14ac:dyDescent="0.2">
      <c r="B324" s="96" t="s">
        <v>2889</v>
      </c>
      <c r="E324" s="177">
        <f>E325-E323-E322</f>
        <v>1425.5511535251135</v>
      </c>
    </row>
    <row r="325" spans="1:8" s="96" customFormat="1" x14ac:dyDescent="0.2">
      <c r="A325" s="193">
        <v>42735</v>
      </c>
      <c r="B325" s="96" t="s">
        <v>1461</v>
      </c>
      <c r="E325" s="176">
        <f>PV((1+3%)^(1/12)-1,36-6,-3000)</f>
        <v>86648.249983722766</v>
      </c>
      <c r="H325" s="96" t="str">
        <f ca="1">_xlfn.FORMULATEXT(E325)</f>
        <v>=PV((1+3%)^(1/12)-1,36-6,-3000)</v>
      </c>
    </row>
    <row r="327" spans="1:8" x14ac:dyDescent="0.2">
      <c r="A327" s="1" t="s">
        <v>1462</v>
      </c>
    </row>
    <row r="328" spans="1:8" x14ac:dyDescent="0.2">
      <c r="A328" s="1" t="s">
        <v>1463</v>
      </c>
    </row>
    <row r="330" spans="1:8" s="96" customFormat="1" x14ac:dyDescent="0.2">
      <c r="B330" s="96" t="s">
        <v>1347</v>
      </c>
      <c r="C330" s="80">
        <f>C331</f>
        <v>30000</v>
      </c>
    </row>
    <row r="331" spans="1:8" s="96" customFormat="1" x14ac:dyDescent="0.2">
      <c r="B331" s="96" t="s">
        <v>1000</v>
      </c>
      <c r="C331" s="80">
        <f>-E323-E318</f>
        <v>30000</v>
      </c>
      <c r="D331" s="96" t="s">
        <v>2891</v>
      </c>
    </row>
    <row r="333" spans="1:8" x14ac:dyDescent="0.2">
      <c r="B333" s="1" t="s">
        <v>1430</v>
      </c>
      <c r="C333" s="137">
        <f>E319+E324</f>
        <v>2072.4868772095069</v>
      </c>
      <c r="D333" s="1" t="s">
        <v>2892</v>
      </c>
    </row>
    <row r="334" spans="1:8" x14ac:dyDescent="0.2">
      <c r="B334" s="1" t="s">
        <v>1441</v>
      </c>
      <c r="C334" s="10">
        <f>C333</f>
        <v>2072.4868772095069</v>
      </c>
    </row>
    <row r="336" spans="1:8" x14ac:dyDescent="0.2">
      <c r="B336" s="1" t="s">
        <v>1464</v>
      </c>
      <c r="D336" s="135">
        <f>D337</f>
        <v>44748.741532194967</v>
      </c>
      <c r="E336" s="1" t="s">
        <v>2893</v>
      </c>
    </row>
    <row r="337" spans="1:5" x14ac:dyDescent="0.2">
      <c r="B337" s="1" t="s">
        <v>1441</v>
      </c>
      <c r="D337" s="8">
        <f>E321</f>
        <v>44748.741532194967</v>
      </c>
      <c r="E337" s="1" t="s">
        <v>2894</v>
      </c>
    </row>
    <row r="343" spans="1:5" x14ac:dyDescent="0.2">
      <c r="A343" s="1" t="s">
        <v>2895</v>
      </c>
    </row>
    <row r="344" spans="1:5" x14ac:dyDescent="0.2">
      <c r="A344" s="1" t="s">
        <v>2896</v>
      </c>
    </row>
    <row r="345" spans="1:5" x14ac:dyDescent="0.2">
      <c r="A345" s="1" t="s">
        <v>2897</v>
      </c>
    </row>
    <row r="347" spans="1:5" x14ac:dyDescent="0.2">
      <c r="B347" s="1" t="s">
        <v>2898</v>
      </c>
      <c r="E347" s="135">
        <f>E348</f>
        <v>7000</v>
      </c>
    </row>
    <row r="348" spans="1:5" x14ac:dyDescent="0.2">
      <c r="B348" s="1" t="s">
        <v>2899</v>
      </c>
      <c r="E348" s="135">
        <f>3500*2</f>
        <v>7000</v>
      </c>
    </row>
    <row r="355" spans="1:9" x14ac:dyDescent="0.2">
      <c r="A355" s="1" t="s">
        <v>2839</v>
      </c>
      <c r="C355" s="1" t="s">
        <v>2900</v>
      </c>
      <c r="E355" s="8">
        <v>60000</v>
      </c>
    </row>
    <row r="356" spans="1:9" x14ac:dyDescent="0.2">
      <c r="C356" s="1" t="s">
        <v>2901</v>
      </c>
      <c r="E356" s="8">
        <v>60000</v>
      </c>
    </row>
    <row r="358" spans="1:9" x14ac:dyDescent="0.2">
      <c r="A358" s="1" t="s">
        <v>2902</v>
      </c>
      <c r="C358" s="1" t="s">
        <v>2903</v>
      </c>
    </row>
    <row r="360" spans="1:9" x14ac:dyDescent="0.2">
      <c r="C360" s="1" t="s">
        <v>2904</v>
      </c>
      <c r="F360" s="133">
        <f>E355</f>
        <v>60000</v>
      </c>
      <c r="G360" s="1" t="s">
        <v>2912</v>
      </c>
    </row>
    <row r="361" spans="1:9" x14ac:dyDescent="0.2">
      <c r="C361" s="1" t="s">
        <v>2905</v>
      </c>
      <c r="F361" s="133">
        <f>F360</f>
        <v>60000</v>
      </c>
    </row>
    <row r="364" spans="1:9" x14ac:dyDescent="0.2">
      <c r="G364" s="1" t="s">
        <v>2929</v>
      </c>
    </row>
    <row r="365" spans="1:9" x14ac:dyDescent="0.2">
      <c r="G365" s="1" t="s">
        <v>2930</v>
      </c>
      <c r="I365" s="1" t="s">
        <v>2927</v>
      </c>
    </row>
    <row r="367" spans="1:9" x14ac:dyDescent="0.2">
      <c r="A367" s="1" t="s">
        <v>2839</v>
      </c>
      <c r="B367" s="1" t="s">
        <v>2909</v>
      </c>
      <c r="C367" s="1" t="s">
        <v>1198</v>
      </c>
      <c r="E367" s="365">
        <f>36000/3*4/12+24000/3*8/12</f>
        <v>9333.3333333333321</v>
      </c>
      <c r="I367" s="1" t="s">
        <v>2928</v>
      </c>
    </row>
    <row r="368" spans="1:9" x14ac:dyDescent="0.2">
      <c r="B368" s="1" t="s">
        <v>2910</v>
      </c>
      <c r="C368" s="1" t="s">
        <v>2906</v>
      </c>
      <c r="E368" s="14">
        <f>E367</f>
        <v>9333.3333333333321</v>
      </c>
    </row>
    <row r="370" spans="1:9" x14ac:dyDescent="0.2">
      <c r="A370" s="1" t="s">
        <v>2840</v>
      </c>
      <c r="B370" s="1" t="s">
        <v>2911</v>
      </c>
      <c r="C370" s="1" t="s">
        <v>2907</v>
      </c>
      <c r="F370" s="133">
        <f>E368</f>
        <v>9333.3333333333321</v>
      </c>
    </row>
    <row r="371" spans="1:9" x14ac:dyDescent="0.2">
      <c r="B371" s="1" t="s">
        <v>2910</v>
      </c>
      <c r="C371" s="1" t="s">
        <v>2908</v>
      </c>
      <c r="F371" s="133">
        <f>F370</f>
        <v>9333.3333333333321</v>
      </c>
    </row>
    <row r="379" spans="1:9" x14ac:dyDescent="0.2">
      <c r="B379" s="1" t="s">
        <v>2850</v>
      </c>
      <c r="F379" s="1" t="s">
        <v>2918</v>
      </c>
    </row>
    <row r="380" spans="1:9" x14ac:dyDescent="0.2">
      <c r="B380" s="1" t="s">
        <v>2913</v>
      </c>
      <c r="D380" s="1">
        <v>10</v>
      </c>
      <c r="G380" s="39">
        <v>42614</v>
      </c>
    </row>
    <row r="381" spans="1:9" x14ac:dyDescent="0.2">
      <c r="B381" s="1" t="s">
        <v>2914</v>
      </c>
      <c r="D381" s="8">
        <v>60000</v>
      </c>
      <c r="F381" s="1" t="s">
        <v>261</v>
      </c>
      <c r="G381" s="11">
        <f>D381/D380*6</f>
        <v>36000</v>
      </c>
      <c r="I381" s="1" t="s">
        <v>2919</v>
      </c>
    </row>
    <row r="382" spans="1:9" x14ac:dyDescent="0.2">
      <c r="B382" s="1" t="s">
        <v>2915</v>
      </c>
      <c r="D382" s="1">
        <v>3</v>
      </c>
      <c r="F382" s="1" t="s">
        <v>716</v>
      </c>
      <c r="G382" s="11">
        <f>12000*4/12</f>
        <v>4000</v>
      </c>
      <c r="I382" s="1" t="s">
        <v>2920</v>
      </c>
    </row>
    <row r="383" spans="1:9" ht="17" thickBot="1" x14ac:dyDescent="0.25">
      <c r="B383" s="1" t="s">
        <v>2917</v>
      </c>
      <c r="D383" s="55" t="s">
        <v>2916</v>
      </c>
      <c r="F383" s="1" t="s">
        <v>907</v>
      </c>
      <c r="G383" s="360">
        <f>G381-G382</f>
        <v>32000</v>
      </c>
    </row>
    <row r="384" spans="1:9" ht="17" thickBot="1" x14ac:dyDescent="0.25"/>
    <row r="385" spans="1:8" x14ac:dyDescent="0.2">
      <c r="A385" s="22" t="s">
        <v>2926</v>
      </c>
      <c r="B385" s="23" t="s">
        <v>988</v>
      </c>
      <c r="C385" s="23"/>
      <c r="D385" s="363">
        <v>24000</v>
      </c>
      <c r="F385" s="1" t="s">
        <v>1394</v>
      </c>
      <c r="G385" s="11">
        <v>24000</v>
      </c>
      <c r="H385" s="1" t="s">
        <v>2342</v>
      </c>
    </row>
    <row r="386" spans="1:8" x14ac:dyDescent="0.2">
      <c r="A386" s="26"/>
      <c r="B386" s="1" t="s">
        <v>2924</v>
      </c>
      <c r="D386" s="364">
        <f>G382</f>
        <v>4000</v>
      </c>
      <c r="F386" s="1" t="s">
        <v>907</v>
      </c>
      <c r="G386" s="11">
        <f>G383</f>
        <v>32000</v>
      </c>
      <c r="H386" s="1" t="s">
        <v>2922</v>
      </c>
    </row>
    <row r="387" spans="1:8" x14ac:dyDescent="0.2">
      <c r="A387" s="26"/>
      <c r="B387" s="1" t="s">
        <v>2925</v>
      </c>
      <c r="D387" s="366">
        <f>-G387</f>
        <v>8000</v>
      </c>
      <c r="F387" s="1" t="s">
        <v>2921</v>
      </c>
      <c r="G387" s="12">
        <f>G385-G386</f>
        <v>-8000</v>
      </c>
    </row>
    <row r="388" spans="1:8" ht="17" thickBot="1" x14ac:dyDescent="0.25">
      <c r="A388" s="28"/>
      <c r="B388" s="29" t="s">
        <v>2923</v>
      </c>
      <c r="C388" s="29"/>
      <c r="D388" s="334">
        <v>36000</v>
      </c>
    </row>
    <row r="390" spans="1:8" x14ac:dyDescent="0.2">
      <c r="A390" s="1" t="s">
        <v>2931</v>
      </c>
    </row>
    <row r="391" spans="1:8" x14ac:dyDescent="0.2">
      <c r="A391" s="1" t="s">
        <v>2932</v>
      </c>
    </row>
    <row r="393" spans="1:8" x14ac:dyDescent="0.2">
      <c r="B393" s="1" t="s">
        <v>2907</v>
      </c>
      <c r="E393" s="367">
        <v>32000</v>
      </c>
    </row>
    <row r="394" spans="1:8" x14ac:dyDescent="0.2">
      <c r="B394" s="1" t="s">
        <v>2908</v>
      </c>
      <c r="E394" s="367">
        <f>E393</f>
        <v>32000</v>
      </c>
    </row>
    <row r="402" spans="1:5" x14ac:dyDescent="0.2">
      <c r="A402" s="7">
        <v>42644</v>
      </c>
      <c r="B402" s="1" t="s">
        <v>988</v>
      </c>
      <c r="C402" s="8">
        <v>240000</v>
      </c>
    </row>
    <row r="403" spans="1:5" x14ac:dyDescent="0.2">
      <c r="B403" s="1" t="s">
        <v>2933</v>
      </c>
      <c r="C403" s="367">
        <f>C402</f>
        <v>240000</v>
      </c>
    </row>
    <row r="405" spans="1:5" x14ac:dyDescent="0.2">
      <c r="A405" s="7">
        <v>42735</v>
      </c>
      <c r="B405" s="1" t="s">
        <v>2936</v>
      </c>
      <c r="D405" s="368">
        <f>D406</f>
        <v>60000</v>
      </c>
      <c r="E405" s="1" t="s">
        <v>2934</v>
      </c>
    </row>
    <row r="406" spans="1:5" x14ac:dyDescent="0.2">
      <c r="B406" s="1" t="s">
        <v>2937</v>
      </c>
      <c r="D406" s="362">
        <f>C403*3/12</f>
        <v>60000</v>
      </c>
      <c r="E406" s="1" t="s">
        <v>2935</v>
      </c>
    </row>
  </sheetData>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13</vt:i4>
      </vt:variant>
    </vt:vector>
  </HeadingPairs>
  <TitlesOfParts>
    <vt:vector size="13" baseType="lpstr">
      <vt:lpstr>COVER</vt:lpstr>
      <vt:lpstr>Lecture 1</vt:lpstr>
      <vt:lpstr>Lecture 2,3</vt:lpstr>
      <vt:lpstr>Lectures 3,4, 5a</vt:lpstr>
      <vt:lpstr>Lecture 5b</vt:lpstr>
      <vt:lpstr>Lecture 6a</vt:lpstr>
      <vt:lpstr>Lecture 7 New</vt:lpstr>
      <vt:lpstr>Lecture 8 New</vt:lpstr>
      <vt:lpstr>Lecture 9 New</vt:lpstr>
      <vt:lpstr>Lecture 10 New</vt:lpstr>
      <vt:lpstr>Lecture 10</vt:lpstr>
      <vt:lpstr>Lecture 11</vt:lpstr>
      <vt:lpstr>Lecture 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cp:lastPrinted>2024-04-17T03:19:34Z</cp:lastPrinted>
  <dcterms:created xsi:type="dcterms:W3CDTF">2024-01-03T05:22:55Z</dcterms:created>
  <dcterms:modified xsi:type="dcterms:W3CDTF">2025-01-11T16:06:17Z</dcterms:modified>
</cp:coreProperties>
</file>